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ksicsa\Desktop\"/>
    </mc:Choice>
  </mc:AlternateContent>
  <xr:revisionPtr revIDLastSave="0" documentId="8_{D5E68940-D0A7-43E8-9889-2E99A19DDD91}" xr6:coauthVersionLast="47" xr6:coauthVersionMax="47" xr10:uidLastSave="{00000000-0000-0000-0000-000000000000}"/>
  <bookViews>
    <workbookView xWindow="-120" yWindow="-120" windowWidth="29040" windowHeight="17520" xr2:uid="{DF390D78-9967-4A98-81DF-2E5C1882859C}"/>
  </bookViews>
  <sheets>
    <sheet name="SKLOP A in SKLOP B" sheetId="3" r:id="rId1"/>
    <sheet name="SKLOP A" sheetId="1" state="hidden" r:id="rId2"/>
    <sheet name="SKLOP B" sheetId="2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3" i="3" l="1"/>
  <c r="C53" i="3"/>
  <c r="J52" i="3"/>
  <c r="J53" i="3" s="1"/>
  <c r="I52" i="3"/>
  <c r="D52" i="3"/>
  <c r="D53" i="3" s="1"/>
  <c r="J48" i="3"/>
  <c r="J47" i="3"/>
  <c r="I49" i="3"/>
  <c r="J49" i="3" s="1"/>
  <c r="D49" i="3"/>
  <c r="D48" i="3"/>
  <c r="D47" i="3"/>
  <c r="E49" i="3"/>
  <c r="C49" i="3"/>
  <c r="I47" i="3"/>
  <c r="K47" i="3" s="1"/>
  <c r="C47" i="3"/>
  <c r="E47" i="3" s="1"/>
  <c r="K52" i="3"/>
  <c r="K53" i="3" s="1"/>
  <c r="K48" i="3"/>
  <c r="K49" i="3" s="1"/>
  <c r="I42" i="3"/>
  <c r="K40" i="3"/>
  <c r="K39" i="3"/>
  <c r="K38" i="3"/>
  <c r="K37" i="3"/>
  <c r="K36" i="3"/>
  <c r="K35" i="3"/>
  <c r="K34" i="3"/>
  <c r="K33" i="3"/>
  <c r="I32" i="3"/>
  <c r="K31" i="3"/>
  <c r="K30" i="3"/>
  <c r="K29" i="3"/>
  <c r="H15" i="3"/>
  <c r="K28" i="3"/>
  <c r="I14" i="3"/>
  <c r="K14" i="3" s="1"/>
  <c r="K27" i="3"/>
  <c r="I13" i="3"/>
  <c r="K13" i="3" s="1"/>
  <c r="I26" i="3"/>
  <c r="K25" i="3"/>
  <c r="K24" i="3"/>
  <c r="K23" i="3"/>
  <c r="K22" i="3"/>
  <c r="K21" i="3"/>
  <c r="E52" i="3"/>
  <c r="E53" i="3" s="1"/>
  <c r="E48" i="3"/>
  <c r="C42" i="3"/>
  <c r="E41" i="3"/>
  <c r="E40" i="3"/>
  <c r="E39" i="3"/>
  <c r="E38" i="3"/>
  <c r="E37" i="3"/>
  <c r="E36" i="3"/>
  <c r="E35" i="3"/>
  <c r="E34" i="3"/>
  <c r="E33" i="3"/>
  <c r="C32" i="3"/>
  <c r="E31" i="3"/>
  <c r="E30" i="3"/>
  <c r="E29" i="3"/>
  <c r="B15" i="3"/>
  <c r="E28" i="3"/>
  <c r="C14" i="3"/>
  <c r="E27" i="3"/>
  <c r="C13" i="3"/>
  <c r="E13" i="3" s="1"/>
  <c r="C26" i="3"/>
  <c r="E25" i="3"/>
  <c r="E24" i="3"/>
  <c r="E23" i="3"/>
  <c r="E22" i="3"/>
  <c r="E21" i="3"/>
  <c r="K15" i="3" l="1"/>
  <c r="I44" i="3"/>
  <c r="J26" i="3" s="1"/>
  <c r="K26" i="3"/>
  <c r="K32" i="3"/>
  <c r="K42" i="3"/>
  <c r="I15" i="3"/>
  <c r="C15" i="3"/>
  <c r="E26" i="3"/>
  <c r="E42" i="3"/>
  <c r="E32" i="3"/>
  <c r="C44" i="3"/>
  <c r="D26" i="3" s="1"/>
  <c r="E14" i="3"/>
  <c r="E15" i="3" s="1"/>
  <c r="J27" i="3" l="1"/>
  <c r="J22" i="3"/>
  <c r="J21" i="3"/>
  <c r="I45" i="3"/>
  <c r="J30" i="3"/>
  <c r="J42" i="3"/>
  <c r="J29" i="3"/>
  <c r="J40" i="3"/>
  <c r="J28" i="3"/>
  <c r="J39" i="3"/>
  <c r="J38" i="3"/>
  <c r="J24" i="3"/>
  <c r="J37" i="3"/>
  <c r="J23" i="3"/>
  <c r="J36" i="3"/>
  <c r="J35" i="3"/>
  <c r="J34" i="3"/>
  <c r="J33" i="3"/>
  <c r="J32" i="3"/>
  <c r="J44" i="3" s="1"/>
  <c r="D24" i="3"/>
  <c r="D41" i="3"/>
  <c r="D28" i="3"/>
  <c r="D39" i="3"/>
  <c r="D38" i="3"/>
  <c r="D37" i="3"/>
  <c r="D22" i="3"/>
  <c r="D35" i="3"/>
  <c r="D40" i="3"/>
  <c r="D27" i="3"/>
  <c r="D23" i="3"/>
  <c r="D36" i="3"/>
  <c r="D33" i="3"/>
  <c r="D34" i="3"/>
  <c r="D30" i="3"/>
  <c r="D29" i="3"/>
  <c r="D32" i="3"/>
  <c r="D42" i="3"/>
  <c r="C45" i="3"/>
  <c r="D21" i="3"/>
  <c r="K44" i="3"/>
  <c r="E44" i="3"/>
  <c r="E54" i="3" s="1"/>
  <c r="E55" i="3" s="1"/>
  <c r="E56" i="3" s="1"/>
  <c r="C43" i="3"/>
  <c r="I43" i="3"/>
  <c r="H34" i="1"/>
  <c r="H31" i="2"/>
  <c r="D33" i="2"/>
  <c r="C29" i="2"/>
  <c r="D29" i="2" s="1"/>
  <c r="F29" i="2" s="1"/>
  <c r="D35" i="1"/>
  <c r="F35" i="1" s="1"/>
  <c r="C31" i="1"/>
  <c r="D31" i="1" s="1"/>
  <c r="C25" i="2"/>
  <c r="F33" i="2"/>
  <c r="D44" i="1"/>
  <c r="H11" i="2"/>
  <c r="H10" i="2"/>
  <c r="J10" i="2" s="1"/>
  <c r="A68" i="2"/>
  <c r="B68" i="2" s="1"/>
  <c r="D30" i="2"/>
  <c r="D24" i="2"/>
  <c r="D23" i="2"/>
  <c r="D22" i="2"/>
  <c r="D21" i="2"/>
  <c r="D20" i="2"/>
  <c r="D19" i="2"/>
  <c r="D18" i="2"/>
  <c r="D17" i="2"/>
  <c r="C16" i="2"/>
  <c r="D15" i="2"/>
  <c r="D14" i="2"/>
  <c r="D13" i="2"/>
  <c r="G12" i="2"/>
  <c r="D12" i="2"/>
  <c r="D11" i="2"/>
  <c r="C10" i="2"/>
  <c r="D9" i="2"/>
  <c r="D8" i="2"/>
  <c r="D7" i="2"/>
  <c r="D6" i="2"/>
  <c r="D5" i="2"/>
  <c r="H12" i="1"/>
  <c r="H11" i="1"/>
  <c r="J11" i="1" s="1"/>
  <c r="C27" i="1"/>
  <c r="D32" i="1"/>
  <c r="D26" i="1"/>
  <c r="D25" i="1"/>
  <c r="D24" i="1"/>
  <c r="D23" i="1"/>
  <c r="D22" i="1"/>
  <c r="D21" i="1"/>
  <c r="D20" i="1"/>
  <c r="D19" i="1"/>
  <c r="D18" i="1"/>
  <c r="C17" i="1"/>
  <c r="D16" i="1"/>
  <c r="D15" i="1"/>
  <c r="D14" i="1"/>
  <c r="G13" i="1"/>
  <c r="D13" i="1"/>
  <c r="D12" i="1"/>
  <c r="C11" i="1"/>
  <c r="C29" i="1" s="1"/>
  <c r="D10" i="1"/>
  <c r="D9" i="1"/>
  <c r="D8" i="1"/>
  <c r="D7" i="1"/>
  <c r="D6" i="1"/>
  <c r="D44" i="3" l="1"/>
  <c r="K54" i="3"/>
  <c r="K55" i="3" s="1"/>
  <c r="K56" i="3" s="1"/>
  <c r="K50" i="3"/>
  <c r="E50" i="3"/>
  <c r="F31" i="1"/>
  <c r="D17" i="1"/>
  <c r="D16" i="2"/>
  <c r="D34" i="2"/>
  <c r="F37" i="2"/>
  <c r="D36" i="1"/>
  <c r="F39" i="1"/>
  <c r="D10" i="2"/>
  <c r="C27" i="2"/>
  <c r="C28" i="2" s="1"/>
  <c r="H12" i="2"/>
  <c r="D25" i="2"/>
  <c r="J11" i="2"/>
  <c r="J12" i="2" s="1"/>
  <c r="C30" i="1"/>
  <c r="H13" i="1"/>
  <c r="D27" i="1"/>
  <c r="D11" i="1"/>
  <c r="J12" i="1"/>
  <c r="J13" i="1" s="1"/>
  <c r="D29" i="1" l="1"/>
  <c r="D33" i="1" s="1"/>
  <c r="C26" i="2"/>
  <c r="D27" i="2"/>
  <c r="D31" i="2" s="1"/>
  <c r="C28" i="1"/>
  <c r="D37" i="1" l="1"/>
  <c r="D38" i="1" s="1"/>
  <c r="D39" i="1" s="1"/>
  <c r="D35" i="2"/>
  <c r="D36" i="2" s="1"/>
  <c r="D37" i="2" s="1"/>
</calcChain>
</file>

<file path=xl/sharedStrings.xml><?xml version="1.0" encoding="utf-8"?>
<sst xmlns="http://schemas.openxmlformats.org/spreadsheetml/2006/main" count="211" uniqueCount="75">
  <si>
    <t>SKLOP A</t>
  </si>
  <si>
    <t>Urna postavka (bruto bruto)</t>
  </si>
  <si>
    <t>Št. ur sodelujočih na projektu  - VPIŠITE</t>
  </si>
  <si>
    <t>Višina stroška (€)</t>
  </si>
  <si>
    <t>ŠTUDENTI</t>
  </si>
  <si>
    <t>PM1</t>
  </si>
  <si>
    <t>PM2</t>
  </si>
  <si>
    <t>PM3</t>
  </si>
  <si>
    <t>PM4</t>
  </si>
  <si>
    <t>PM5</t>
  </si>
  <si>
    <t>%</t>
  </si>
  <si>
    <t>ure</t>
  </si>
  <si>
    <t>SSE</t>
  </si>
  <si>
    <t>stroški (EUR)</t>
  </si>
  <si>
    <t xml:space="preserve">                                     PM SKUPAJ</t>
  </si>
  <si>
    <t>DM1</t>
  </si>
  <si>
    <t>PM/DM</t>
  </si>
  <si>
    <t>DM2</t>
  </si>
  <si>
    <t>DM3</t>
  </si>
  <si>
    <t>DM4</t>
  </si>
  <si>
    <t>DM5</t>
  </si>
  <si>
    <t xml:space="preserve">                                    DM SKUPAJ</t>
  </si>
  <si>
    <t>Š1</t>
  </si>
  <si>
    <t>Š2</t>
  </si>
  <si>
    <t>Š3</t>
  </si>
  <si>
    <t>Š4</t>
  </si>
  <si>
    <t>Š5</t>
  </si>
  <si>
    <t>Š6</t>
  </si>
  <si>
    <t>Š7</t>
  </si>
  <si>
    <t>Š8</t>
  </si>
  <si>
    <t>Š9</t>
  </si>
  <si>
    <t xml:space="preserve">                                      Š SKUPAJ</t>
  </si>
  <si>
    <t>PREVERBA (ŠT. UR ŠTUDENTI)</t>
  </si>
  <si>
    <t xml:space="preserve">                                        SKUPAJ</t>
  </si>
  <si>
    <t>PREVERBA (ŠT. UR SKUPAJ)</t>
  </si>
  <si>
    <t>PROMOCIJA</t>
  </si>
  <si>
    <t>PREVERBA (ZNESEK SKUPAJ)</t>
  </si>
  <si>
    <t xml:space="preserve">ČLANICA + REKTORAT </t>
  </si>
  <si>
    <t>PREVERBA (ZNESEK) SKUPAJ</t>
  </si>
  <si>
    <t>MINIMALNI POGOJ GLEDE UR ŠTUDENTOV: 80% ur od 1.300 obveznih izvedejo študenti.</t>
  </si>
  <si>
    <t>11,57 € bruto bruto</t>
  </si>
  <si>
    <t>8,31 € bruto</t>
  </si>
  <si>
    <t>7,15 € neto</t>
  </si>
  <si>
    <t>SKLOP B</t>
  </si>
  <si>
    <t>PM SKUPAJ</t>
  </si>
  <si>
    <t>DM SKUPAJ</t>
  </si>
  <si>
    <t>Š SKUPAJ</t>
  </si>
  <si>
    <t>SKUPAJ</t>
  </si>
  <si>
    <t>PODPORNO OSEBJE ČLANICA 6,25 %</t>
  </si>
  <si>
    <t>REKTORAT 6,25 %</t>
  </si>
  <si>
    <t>MINIMALNI POGOJ GLEDE UR ŠTUDENTOV: 80% ur od 1000 obveznih izvedejo študenti.</t>
  </si>
  <si>
    <t xml:space="preserve">                                        SKUPAJ število ur na projekt (skupno najmanj 1300 ur)</t>
  </si>
  <si>
    <t>Vključene osebe</t>
  </si>
  <si>
    <t>Vrednost urne postavke za vrsto stroška (bruto bruto)</t>
  </si>
  <si>
    <t>Tabela 1: Finančni razred pavšalnih zneskov lump sum za Sklop A</t>
  </si>
  <si>
    <t>Delež ur (%)</t>
  </si>
  <si>
    <t>SKUPAJ število ur na projekt 
(skupno najmanj 1300 ur)</t>
  </si>
  <si>
    <t>SKUPAJ število ur na projekt 
(skupno najmanj 1000 ur)</t>
  </si>
  <si>
    <t>Pedagoški mentor SKUPAJ</t>
  </si>
  <si>
    <t>Delovni mentor SKUPAJ</t>
  </si>
  <si>
    <t>Vrednost projekta</t>
  </si>
  <si>
    <t>Sklop A</t>
  </si>
  <si>
    <t>Sklop B</t>
  </si>
  <si>
    <t xml:space="preserve">Finančni razred pavšalnih zneskov lump sum za Sklop A in Sklop B </t>
  </si>
  <si>
    <t>Tabela 2: Finančni razred pavšalnih zneskov lump sum za Sklop B</t>
  </si>
  <si>
    <t>Minimalno št. ur</t>
  </si>
  <si>
    <t>Obdobje trajanja (od-do):</t>
  </si>
  <si>
    <t>Število mesecev (do 5 mesecev):</t>
  </si>
  <si>
    <t xml:space="preserve">                                      Študenti SKUPAJ</t>
  </si>
  <si>
    <t>SKUPAJ posredni stroški članica</t>
  </si>
  <si>
    <t xml:space="preserve">                                        SKUPAJ rektorat</t>
  </si>
  <si>
    <t>POSREDNI STROŠKI ČLANICA 7 %</t>
  </si>
  <si>
    <t>POSREDNI STROŠKI REKTORAT 6,25 %</t>
  </si>
  <si>
    <t>POSREDNI STROŠKI ČLANICA 6,721 %</t>
  </si>
  <si>
    <t>Posredni stroški: stroški električne energije, stroški telefona, faksa in elektronske pošte, stroški poštnin in kurirskih storitev, stroški potrošnega materiala (pisarniški material, čistilni material in posebni material), stroški računovodskih storitev. (15%: članica 8,75 %, rektorat 6,25%)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</si>
</sst>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\ _€_-;\-* #,##0.00\ _€_-;_-* &quot;-&quot;??\ _€_-;_-@_-"/>
    <numFmt numFmtId="165" formatCode="#,##0.00\ _€"/>
    <numFmt numFmtId="166" formatCode="_-* #,##0\ _€_-;\-* #,##0\ _€_-;_-* &quot;-&quot;??\ _€_-;_-@_-"/>
    <numFmt numFmtId="169" formatCode="0.0000%"/>
  </numFmts>
  <fonts count="9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1"/>
      <name val="Aptos Narrow"/>
      <family val="2"/>
      <charset val="238"/>
      <scheme val="minor"/>
    </font>
    <font>
      <sz val="11"/>
      <color theme="4" tint="-0.499984740745262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b/>
      <sz val="11"/>
      <color rgb="FF0070C0"/>
      <name val="Aptos Narrow"/>
      <family val="2"/>
      <scheme val="minor"/>
    </font>
    <font>
      <b/>
      <sz val="11"/>
      <name val="Aptos Narrow"/>
      <family val="2"/>
      <scheme val="minor"/>
    </font>
    <font>
      <b/>
      <sz val="12"/>
      <color rgb="FF0070C0"/>
      <name val="Aptos Narrow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A9DEF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CCC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0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9" fontId="2" fillId="0" borderId="0" xfId="2" applyFont="1" applyAlignment="1">
      <alignment vertical="center"/>
    </xf>
    <xf numFmtId="0" fontId="2" fillId="0" borderId="4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164" fontId="0" fillId="0" borderId="0" xfId="0" applyNumberFormat="1" applyAlignment="1">
      <alignment vertical="center"/>
    </xf>
    <xf numFmtId="0" fontId="0" fillId="0" borderId="7" xfId="0" applyBorder="1" applyAlignment="1">
      <alignment vertical="center"/>
    </xf>
    <xf numFmtId="0" fontId="0" fillId="0" borderId="6" xfId="0" applyBorder="1" applyAlignment="1">
      <alignment vertical="center"/>
    </xf>
    <xf numFmtId="0" fontId="2" fillId="3" borderId="8" xfId="0" applyFont="1" applyFill="1" applyBorder="1" applyAlignment="1">
      <alignment horizontal="center" vertical="center"/>
    </xf>
    <xf numFmtId="3" fontId="0" fillId="4" borderId="8" xfId="0" applyNumberFormat="1" applyFill="1" applyBorder="1" applyAlignment="1" applyProtection="1">
      <alignment horizontal="center" vertical="center"/>
      <protection locked="0"/>
    </xf>
    <xf numFmtId="164" fontId="0" fillId="5" borderId="9" xfId="0" applyNumberFormat="1" applyFill="1" applyBorder="1" applyAlignment="1">
      <alignment horizontal="left" vertical="center"/>
    </xf>
    <xf numFmtId="0" fontId="2" fillId="6" borderId="10" xfId="0" applyFont="1" applyFill="1" applyBorder="1" applyAlignment="1">
      <alignment horizontal="center" vertical="center"/>
    </xf>
    <xf numFmtId="3" fontId="0" fillId="4" borderId="10" xfId="0" applyNumberFormat="1" applyFill="1" applyBorder="1" applyAlignment="1" applyProtection="1">
      <alignment horizontal="center" vertical="center"/>
      <protection locked="0"/>
    </xf>
    <xf numFmtId="164" fontId="0" fillId="5" borderId="12" xfId="0" applyNumberFormat="1" applyFill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5" xfId="0" applyBorder="1" applyAlignment="1">
      <alignment vertical="center"/>
    </xf>
    <xf numFmtId="0" fontId="2" fillId="6" borderId="16" xfId="0" applyFont="1" applyFill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9" fontId="2" fillId="0" borderId="17" xfId="2" applyFont="1" applyBorder="1" applyAlignment="1">
      <alignment horizontal="right" vertical="center"/>
    </xf>
    <xf numFmtId="0" fontId="2" fillId="0" borderId="17" xfId="0" applyFont="1" applyBorder="1" applyAlignment="1">
      <alignment horizontal="center" vertical="center"/>
    </xf>
    <xf numFmtId="0" fontId="2" fillId="7" borderId="18" xfId="0" applyFont="1" applyFill="1" applyBorder="1" applyAlignment="1">
      <alignment horizontal="left" vertical="center"/>
    </xf>
    <xf numFmtId="0" fontId="2" fillId="7" borderId="19" xfId="0" applyFont="1" applyFill="1" applyBorder="1" applyAlignment="1">
      <alignment horizontal="left" vertical="center"/>
    </xf>
    <xf numFmtId="3" fontId="2" fillId="7" borderId="20" xfId="0" applyNumberFormat="1" applyFont="1" applyFill="1" applyBorder="1" applyAlignment="1">
      <alignment horizontal="center" vertical="center"/>
    </xf>
    <xf numFmtId="164" fontId="2" fillId="7" borderId="21" xfId="0" applyNumberFormat="1" applyFont="1" applyFill="1" applyBorder="1" applyAlignment="1">
      <alignment horizontal="left" vertical="center"/>
    </xf>
    <xf numFmtId="9" fontId="2" fillId="0" borderId="7" xfId="2" applyFont="1" applyBorder="1" applyAlignment="1">
      <alignment vertical="center"/>
    </xf>
    <xf numFmtId="9" fontId="1" fillId="0" borderId="17" xfId="2" applyFont="1" applyBorder="1" applyAlignment="1">
      <alignment vertical="center"/>
    </xf>
    <xf numFmtId="166" fontId="0" fillId="0" borderId="17" xfId="1" applyNumberFormat="1" applyFont="1" applyBorder="1" applyAlignment="1">
      <alignment vertical="center"/>
    </xf>
    <xf numFmtId="43" fontId="0" fillId="0" borderId="17" xfId="1" applyFont="1" applyBorder="1" applyAlignment="1">
      <alignment vertical="center"/>
    </xf>
    <xf numFmtId="9" fontId="0" fillId="0" borderId="17" xfId="2" applyFont="1" applyBorder="1" applyAlignment="1">
      <alignment vertical="center"/>
    </xf>
    <xf numFmtId="9" fontId="0" fillId="0" borderId="22" xfId="2" applyFont="1" applyBorder="1" applyAlignment="1">
      <alignment vertical="center"/>
    </xf>
    <xf numFmtId="166" fontId="2" fillId="0" borderId="22" xfId="0" applyNumberFormat="1" applyFont="1" applyBorder="1" applyAlignment="1">
      <alignment vertical="center"/>
    </xf>
    <xf numFmtId="166" fontId="0" fillId="0" borderId="22" xfId="0" applyNumberFormat="1" applyBorder="1" applyAlignment="1">
      <alignment vertical="center"/>
    </xf>
    <xf numFmtId="0" fontId="2" fillId="3" borderId="10" xfId="0" applyFont="1" applyFill="1" applyBorder="1" applyAlignment="1">
      <alignment horizontal="center" vertical="center"/>
    </xf>
    <xf numFmtId="165" fontId="2" fillId="0" borderId="23" xfId="0" applyNumberFormat="1" applyFont="1" applyBorder="1" applyAlignment="1">
      <alignment horizontal="center" vertical="center"/>
    </xf>
    <xf numFmtId="9" fontId="1" fillId="0" borderId="0" xfId="2" applyFont="1" applyAlignment="1">
      <alignment horizontal="center" vertical="center"/>
    </xf>
    <xf numFmtId="165" fontId="4" fillId="8" borderId="18" xfId="0" applyNumberFormat="1" applyFont="1" applyFill="1" applyBorder="1" applyAlignment="1">
      <alignment horizontal="right" vertical="center"/>
    </xf>
    <xf numFmtId="165" fontId="4" fillId="8" borderId="25" xfId="0" applyNumberFormat="1" applyFont="1" applyFill="1" applyBorder="1" applyAlignment="1">
      <alignment horizontal="right" vertical="center"/>
    </xf>
    <xf numFmtId="3" fontId="4" fillId="8" borderId="25" xfId="0" applyNumberFormat="1" applyFont="1" applyFill="1" applyBorder="1" applyAlignment="1">
      <alignment horizontal="left" vertical="center"/>
    </xf>
    <xf numFmtId="3" fontId="4" fillId="8" borderId="15" xfId="0" applyNumberFormat="1" applyFont="1" applyFill="1" applyBorder="1" applyAlignment="1">
      <alignment vertical="center" wrapText="1"/>
    </xf>
    <xf numFmtId="0" fontId="2" fillId="7" borderId="18" xfId="0" applyFont="1" applyFill="1" applyBorder="1" applyAlignment="1">
      <alignment horizontal="right" vertical="center"/>
    </xf>
    <xf numFmtId="0" fontId="2" fillId="7" borderId="19" xfId="0" applyFont="1" applyFill="1" applyBorder="1" applyAlignment="1">
      <alignment horizontal="right" vertical="center"/>
    </xf>
    <xf numFmtId="164" fontId="2" fillId="7" borderId="21" xfId="0" applyNumberFormat="1" applyFont="1" applyFill="1" applyBorder="1" applyAlignment="1">
      <alignment vertical="center"/>
    </xf>
    <xf numFmtId="165" fontId="4" fillId="8" borderId="13" xfId="0" applyNumberFormat="1" applyFont="1" applyFill="1" applyBorder="1" applyAlignment="1">
      <alignment horizontal="right" vertical="center"/>
    </xf>
    <xf numFmtId="165" fontId="4" fillId="8" borderId="26" xfId="0" applyNumberFormat="1" applyFont="1" applyFill="1" applyBorder="1" applyAlignment="1">
      <alignment horizontal="right" vertical="center"/>
    </xf>
    <xf numFmtId="3" fontId="4" fillId="8" borderId="14" xfId="0" applyNumberFormat="1" applyFont="1" applyFill="1" applyBorder="1" applyAlignment="1">
      <alignment horizontal="left" vertical="center"/>
    </xf>
    <xf numFmtId="0" fontId="2" fillId="3" borderId="20" xfId="0" applyFont="1" applyFill="1" applyBorder="1" applyAlignment="1">
      <alignment horizontal="center" vertical="center"/>
    </xf>
    <xf numFmtId="165" fontId="2" fillId="7" borderId="20" xfId="0" applyNumberFormat="1" applyFont="1" applyFill="1" applyBorder="1" applyAlignment="1">
      <alignment horizontal="center" vertical="center"/>
    </xf>
    <xf numFmtId="165" fontId="0" fillId="4" borderId="21" xfId="0" applyNumberFormat="1" applyFill="1" applyBorder="1" applyAlignment="1" applyProtection="1">
      <alignment vertical="center"/>
      <protection locked="0"/>
    </xf>
    <xf numFmtId="164" fontId="0" fillId="7" borderId="21" xfId="0" applyNumberFormat="1" applyFill="1" applyBorder="1" applyAlignment="1">
      <alignment horizontal="left" vertical="center"/>
    </xf>
    <xf numFmtId="0" fontId="2" fillId="3" borderId="5" xfId="0" applyFont="1" applyFill="1" applyBorder="1" applyAlignment="1">
      <alignment horizontal="center" vertical="center"/>
    </xf>
    <xf numFmtId="165" fontId="2" fillId="7" borderId="0" xfId="0" applyNumberFormat="1" applyFont="1" applyFill="1" applyAlignment="1">
      <alignment horizontal="center" vertical="center"/>
    </xf>
    <xf numFmtId="164" fontId="0" fillId="4" borderId="5" xfId="0" applyNumberFormat="1" applyFill="1" applyBorder="1" applyAlignment="1" applyProtection="1">
      <alignment horizontal="left" vertical="center"/>
      <protection locked="0"/>
    </xf>
    <xf numFmtId="164" fontId="0" fillId="7" borderId="6" xfId="0" applyNumberFormat="1" applyFill="1" applyBorder="1" applyAlignment="1">
      <alignment horizontal="left" vertical="center"/>
    </xf>
    <xf numFmtId="0" fontId="4" fillId="9" borderId="27" xfId="0" applyFont="1" applyFill="1" applyBorder="1" applyAlignment="1">
      <alignment horizontal="right" vertical="center"/>
    </xf>
    <xf numFmtId="0" fontId="4" fillId="9" borderId="28" xfId="0" applyFont="1" applyFill="1" applyBorder="1" applyAlignment="1">
      <alignment horizontal="right" vertical="center"/>
    </xf>
    <xf numFmtId="0" fontId="4" fillId="9" borderId="29" xfId="0" applyFont="1" applyFill="1" applyBorder="1" applyAlignment="1">
      <alignment horizontal="center" vertical="center" wrapText="1"/>
    </xf>
    <xf numFmtId="0" fontId="4" fillId="9" borderId="30" xfId="0" applyFont="1" applyFill="1" applyBorder="1" applyAlignment="1">
      <alignment horizontal="center" vertical="center" wrapText="1"/>
    </xf>
    <xf numFmtId="0" fontId="4" fillId="9" borderId="31" xfId="0" applyFont="1" applyFill="1" applyBorder="1" applyAlignment="1">
      <alignment horizontal="right" vertical="center"/>
    </xf>
    <xf numFmtId="0" fontId="4" fillId="9" borderId="32" xfId="0" applyFont="1" applyFill="1" applyBorder="1" applyAlignment="1">
      <alignment horizontal="right" vertical="center"/>
    </xf>
    <xf numFmtId="0" fontId="4" fillId="9" borderId="33" xfId="0" applyFont="1" applyFill="1" applyBorder="1" applyAlignment="1">
      <alignment horizontal="center" vertical="center" wrapText="1"/>
    </xf>
    <xf numFmtId="0" fontId="4" fillId="9" borderId="34" xfId="0" applyFont="1" applyFill="1" applyBorder="1" applyAlignment="1">
      <alignment horizontal="center" vertical="center" wrapText="1"/>
    </xf>
    <xf numFmtId="3" fontId="0" fillId="7" borderId="26" xfId="0" applyNumberFormat="1" applyFill="1" applyBorder="1" applyAlignment="1">
      <alignment horizontal="center" vertical="center"/>
    </xf>
    <xf numFmtId="164" fontId="0" fillId="5" borderId="35" xfId="0" applyNumberFormat="1" applyFill="1" applyBorder="1" applyAlignment="1">
      <alignment horizontal="left" vertical="center"/>
    </xf>
    <xf numFmtId="3" fontId="0" fillId="7" borderId="25" xfId="0" applyNumberFormat="1" applyFill="1" applyBorder="1" applyAlignment="1">
      <alignment horizontal="center" vertical="center"/>
    </xf>
    <xf numFmtId="164" fontId="2" fillId="7" borderId="36" xfId="0" applyNumberFormat="1" applyFont="1" applyFill="1" applyBorder="1" applyAlignment="1">
      <alignment horizontal="left" vertical="center"/>
    </xf>
    <xf numFmtId="0" fontId="3" fillId="10" borderId="24" xfId="0" applyFont="1" applyFill="1" applyBorder="1" applyAlignment="1">
      <alignment horizontal="center" vertical="center"/>
    </xf>
    <xf numFmtId="164" fontId="2" fillId="11" borderId="35" xfId="0" applyNumberFormat="1" applyFont="1" applyFill="1" applyBorder="1" applyAlignment="1">
      <alignment horizontal="left" vertical="center"/>
    </xf>
    <xf numFmtId="0" fontId="4" fillId="9" borderId="4" xfId="0" applyFont="1" applyFill="1" applyBorder="1" applyAlignment="1">
      <alignment horizontal="right" vertical="center"/>
    </xf>
    <xf numFmtId="0" fontId="4" fillId="9" borderId="2" xfId="0" applyFont="1" applyFill="1" applyBorder="1" applyAlignment="1">
      <alignment horizontal="right" vertical="center"/>
    </xf>
    <xf numFmtId="0" fontId="4" fillId="9" borderId="9" xfId="0" applyFont="1" applyFill="1" applyBorder="1" applyAlignment="1">
      <alignment horizontal="center" vertical="center" wrapText="1"/>
    </xf>
    <xf numFmtId="0" fontId="4" fillId="9" borderId="7" xfId="0" applyFont="1" applyFill="1" applyBorder="1" applyAlignment="1">
      <alignment horizontal="right" vertical="center"/>
    </xf>
    <xf numFmtId="0" fontId="4" fillId="9" borderId="0" xfId="0" applyFont="1" applyFill="1" applyAlignment="1">
      <alignment horizontal="right" vertical="center"/>
    </xf>
    <xf numFmtId="0" fontId="4" fillId="9" borderId="12" xfId="0" applyFont="1" applyFill="1" applyBorder="1" applyAlignment="1">
      <alignment horizontal="center" vertical="center" wrapText="1"/>
    </xf>
    <xf numFmtId="0" fontId="4" fillId="9" borderId="13" xfId="0" applyFont="1" applyFill="1" applyBorder="1" applyAlignment="1">
      <alignment horizontal="right" vertical="center"/>
    </xf>
    <xf numFmtId="0" fontId="4" fillId="9" borderId="14" xfId="0" applyFont="1" applyFill="1" applyBorder="1" applyAlignment="1">
      <alignment horizontal="right" vertical="center"/>
    </xf>
    <xf numFmtId="0" fontId="4" fillId="9" borderId="37" xfId="0" applyFont="1" applyFill="1" applyBorder="1" applyAlignment="1">
      <alignment horizontal="center" vertical="center" wrapText="1"/>
    </xf>
    <xf numFmtId="3" fontId="0" fillId="5" borderId="10" xfId="0" applyNumberFormat="1" applyFill="1" applyBorder="1" applyAlignment="1" applyProtection="1">
      <alignment horizontal="center" vertical="center"/>
      <protection locked="0"/>
    </xf>
    <xf numFmtId="165" fontId="2" fillId="0" borderId="8" xfId="0" applyNumberFormat="1" applyFont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/>
    </xf>
    <xf numFmtId="3" fontId="0" fillId="3" borderId="10" xfId="0" applyNumberFormat="1" applyFill="1" applyBorder="1" applyAlignment="1" applyProtection="1">
      <alignment horizontal="center" vertical="center"/>
      <protection locked="0"/>
    </xf>
    <xf numFmtId="0" fontId="3" fillId="12" borderId="1" xfId="0" applyFont="1" applyFill="1" applyBorder="1" applyAlignment="1">
      <alignment horizontal="center" vertical="center"/>
    </xf>
    <xf numFmtId="0" fontId="3" fillId="12" borderId="5" xfId="0" applyFont="1" applyFill="1" applyBorder="1" applyAlignment="1">
      <alignment horizontal="center" vertical="center"/>
    </xf>
    <xf numFmtId="9" fontId="2" fillId="0" borderId="0" xfId="2" applyFont="1" applyAlignment="1">
      <alignment horizontal="center" vertical="center"/>
    </xf>
    <xf numFmtId="9" fontId="0" fillId="0" borderId="0" xfId="2" applyFont="1" applyAlignment="1">
      <alignment vertical="center"/>
    </xf>
    <xf numFmtId="0" fontId="2" fillId="7" borderId="18" xfId="0" applyFont="1" applyFill="1" applyBorder="1" applyAlignment="1">
      <alignment horizontal="center" vertical="center"/>
    </xf>
    <xf numFmtId="165" fontId="2" fillId="7" borderId="19" xfId="0" applyNumberFormat="1" applyFont="1" applyFill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3" fontId="4" fillId="8" borderId="39" xfId="0" applyNumberFormat="1" applyFont="1" applyFill="1" applyBorder="1" applyAlignment="1">
      <alignment horizontal="left" vertical="center"/>
    </xf>
    <xf numFmtId="3" fontId="0" fillId="8" borderId="15" xfId="0" applyNumberFormat="1" applyFill="1" applyBorder="1" applyAlignment="1">
      <alignment horizontal="center" vertical="center"/>
    </xf>
    <xf numFmtId="165" fontId="0" fillId="7" borderId="19" xfId="0" applyNumberFormat="1" applyFill="1" applyBorder="1" applyAlignment="1">
      <alignment horizontal="center" vertical="center"/>
    </xf>
    <xf numFmtId="3" fontId="4" fillId="8" borderId="39" xfId="0" applyNumberFormat="1" applyFont="1" applyFill="1" applyBorder="1" applyAlignment="1">
      <alignment horizontal="left" vertical="center" wrapText="1"/>
    </xf>
    <xf numFmtId="164" fontId="0" fillId="4" borderId="20" xfId="0" applyNumberFormat="1" applyFill="1" applyBorder="1" applyAlignment="1" applyProtection="1">
      <alignment horizontal="left" vertical="center"/>
      <protection locked="0"/>
    </xf>
    <xf numFmtId="3" fontId="0" fillId="3" borderId="38" xfId="0" applyNumberFormat="1" applyFill="1" applyBorder="1" applyAlignment="1" applyProtection="1">
      <alignment horizontal="center" vertical="center"/>
      <protection locked="0"/>
    </xf>
    <xf numFmtId="10" fontId="0" fillId="0" borderId="0" xfId="2" applyNumberFormat="1" applyFont="1" applyAlignment="1">
      <alignment vertical="center"/>
    </xf>
    <xf numFmtId="10" fontId="0" fillId="0" borderId="0" xfId="0" applyNumberFormat="1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24" xfId="0" applyBorder="1" applyAlignment="1">
      <alignment vertical="center"/>
    </xf>
    <xf numFmtId="0" fontId="2" fillId="0" borderId="40" xfId="0" applyFont="1" applyBorder="1" applyAlignment="1">
      <alignment horizontal="center" vertical="center"/>
    </xf>
    <xf numFmtId="166" fontId="0" fillId="0" borderId="40" xfId="1" applyNumberFormat="1" applyFont="1" applyBorder="1" applyAlignment="1">
      <alignment vertical="center"/>
    </xf>
    <xf numFmtId="166" fontId="0" fillId="0" borderId="34" xfId="0" applyNumberForma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166" fontId="0" fillId="0" borderId="0" xfId="1" applyNumberFormat="1" applyFont="1" applyBorder="1" applyAlignment="1">
      <alignment vertical="center"/>
    </xf>
    <xf numFmtId="166" fontId="0" fillId="0" borderId="0" xfId="0" applyNumberFormat="1" applyBorder="1" applyAlignment="1">
      <alignment vertical="center"/>
    </xf>
    <xf numFmtId="3" fontId="0" fillId="5" borderId="12" xfId="0" applyNumberFormat="1" applyFill="1" applyBorder="1" applyAlignment="1" applyProtection="1">
      <alignment horizontal="center" vertical="center"/>
      <protection locked="0"/>
    </xf>
    <xf numFmtId="3" fontId="0" fillId="7" borderId="0" xfId="0" applyNumberFormat="1" applyFill="1" applyBorder="1" applyAlignment="1">
      <alignment horizontal="center" vertical="center"/>
    </xf>
    <xf numFmtId="3" fontId="0" fillId="7" borderId="19" xfId="0" applyNumberFormat="1" applyFill="1" applyBorder="1" applyAlignment="1">
      <alignment horizontal="center" vertical="center"/>
    </xf>
    <xf numFmtId="0" fontId="4" fillId="9" borderId="2" xfId="0" applyFont="1" applyFill="1" applyBorder="1" applyAlignment="1">
      <alignment horizontal="right" vertical="center"/>
    </xf>
    <xf numFmtId="0" fontId="4" fillId="9" borderId="0" xfId="0" applyFont="1" applyFill="1" applyAlignment="1">
      <alignment horizontal="right" vertical="center"/>
    </xf>
    <xf numFmtId="0" fontId="4" fillId="9" borderId="14" xfId="0" applyFont="1" applyFill="1" applyBorder="1" applyAlignment="1">
      <alignment horizontal="right" vertical="center"/>
    </xf>
    <xf numFmtId="0" fontId="2" fillId="0" borderId="24" xfId="0" applyFont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3" fontId="4" fillId="8" borderId="14" xfId="0" applyNumberFormat="1" applyFont="1" applyFill="1" applyBorder="1" applyAlignment="1">
      <alignment horizontal="left" vertical="center" wrapText="1"/>
    </xf>
    <xf numFmtId="0" fontId="4" fillId="9" borderId="41" xfId="0" applyFont="1" applyFill="1" applyBorder="1" applyAlignment="1">
      <alignment horizontal="center" vertical="center" wrapText="1"/>
    </xf>
    <xf numFmtId="0" fontId="4" fillId="9" borderId="42" xfId="0" applyFont="1" applyFill="1" applyBorder="1" applyAlignment="1">
      <alignment horizontal="center" vertical="center" wrapText="1"/>
    </xf>
    <xf numFmtId="0" fontId="2" fillId="7" borderId="18" xfId="0" applyFont="1" applyFill="1" applyBorder="1" applyAlignment="1">
      <alignment horizontal="center" vertical="center" wrapText="1"/>
    </xf>
    <xf numFmtId="0" fontId="2" fillId="7" borderId="19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/>
    </xf>
    <xf numFmtId="165" fontId="2" fillId="0" borderId="43" xfId="0" applyNumberFormat="1" applyFont="1" applyBorder="1" applyAlignment="1">
      <alignment horizontal="center" vertical="center"/>
    </xf>
    <xf numFmtId="165" fontId="2" fillId="0" borderId="15" xfId="0" applyNumberFormat="1" applyFont="1" applyBorder="1" applyAlignment="1">
      <alignment horizontal="center" vertical="center"/>
    </xf>
    <xf numFmtId="3" fontId="0" fillId="3" borderId="16" xfId="0" applyNumberFormat="1" applyFill="1" applyBorder="1" applyAlignment="1" applyProtection="1">
      <alignment horizontal="center" vertical="center"/>
      <protection locked="0"/>
    </xf>
    <xf numFmtId="3" fontId="0" fillId="3" borderId="24" xfId="0" applyNumberFormat="1" applyFill="1" applyBorder="1" applyAlignment="1" applyProtection="1">
      <alignment horizontal="center" vertical="center"/>
      <protection locked="0"/>
    </xf>
    <xf numFmtId="164" fontId="0" fillId="5" borderId="16" xfId="0" applyNumberFormat="1" applyFill="1" applyBorder="1" applyAlignment="1">
      <alignment horizontal="center" vertical="center"/>
    </xf>
    <xf numFmtId="164" fontId="0" fillId="5" borderId="24" xfId="0" applyNumberFormat="1" applyFill="1" applyBorder="1" applyAlignment="1">
      <alignment horizontal="center" vertical="center"/>
    </xf>
    <xf numFmtId="165" fontId="2" fillId="0" borderId="9" xfId="0" applyNumberFormat="1" applyFont="1" applyBorder="1" applyAlignment="1">
      <alignment horizontal="center" vertical="center"/>
    </xf>
    <xf numFmtId="165" fontId="2" fillId="0" borderId="12" xfId="0" applyNumberFormat="1" applyFont="1" applyBorder="1" applyAlignment="1">
      <alignment horizontal="center" vertical="center"/>
    </xf>
    <xf numFmtId="0" fontId="2" fillId="6" borderId="16" xfId="0" applyFont="1" applyFill="1" applyBorder="1" applyAlignment="1">
      <alignment horizontal="center" vertical="center"/>
    </xf>
    <xf numFmtId="0" fontId="2" fillId="6" borderId="24" xfId="0" applyFont="1" applyFill="1" applyBorder="1" applyAlignment="1">
      <alignment horizontal="center" vertical="center"/>
    </xf>
    <xf numFmtId="0" fontId="2" fillId="7" borderId="18" xfId="0" applyFont="1" applyFill="1" applyBorder="1" applyAlignment="1">
      <alignment horizontal="center" vertical="center"/>
    </xf>
    <xf numFmtId="0" fontId="2" fillId="7" borderId="21" xfId="0" applyFont="1" applyFill="1" applyBorder="1" applyAlignment="1">
      <alignment horizontal="center" vertical="center"/>
    </xf>
    <xf numFmtId="9" fontId="2" fillId="7" borderId="21" xfId="2" applyFont="1" applyFill="1" applyBorder="1" applyAlignment="1">
      <alignment horizontal="center" vertical="center"/>
    </xf>
    <xf numFmtId="10" fontId="0" fillId="5" borderId="12" xfId="2" applyNumberFormat="1" applyFont="1" applyFill="1" applyBorder="1" applyAlignment="1" applyProtection="1">
      <alignment horizontal="center" vertical="center"/>
      <protection locked="0"/>
    </xf>
    <xf numFmtId="10" fontId="2" fillId="7" borderId="21" xfId="2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3" fontId="5" fillId="0" borderId="0" xfId="0" applyNumberFormat="1" applyFont="1" applyAlignment="1">
      <alignment vertical="center"/>
    </xf>
    <xf numFmtId="0" fontId="6" fillId="0" borderId="17" xfId="0" applyFont="1" applyBorder="1" applyAlignment="1">
      <alignment horizontal="center" vertical="center"/>
    </xf>
    <xf numFmtId="3" fontId="6" fillId="0" borderId="17" xfId="0" applyNumberFormat="1" applyFont="1" applyBorder="1" applyAlignment="1">
      <alignment horizontal="center" vertical="center"/>
    </xf>
    <xf numFmtId="3" fontId="6" fillId="9" borderId="17" xfId="0" applyNumberFormat="1" applyFont="1" applyFill="1" applyBorder="1" applyAlignment="1">
      <alignment horizontal="center" vertical="center"/>
    </xf>
    <xf numFmtId="3" fontId="7" fillId="0" borderId="44" xfId="0" applyNumberFormat="1" applyFont="1" applyBorder="1" applyAlignment="1">
      <alignment horizontal="left" vertical="center"/>
    </xf>
    <xf numFmtId="3" fontId="7" fillId="0" borderId="11" xfId="0" applyNumberFormat="1" applyFont="1" applyBorder="1" applyAlignment="1">
      <alignment horizontal="left" vertical="center"/>
    </xf>
    <xf numFmtId="3" fontId="7" fillId="0" borderId="45" xfId="0" applyNumberFormat="1" applyFont="1" applyBorder="1" applyAlignment="1">
      <alignment horizontal="left" vertical="center"/>
    </xf>
    <xf numFmtId="0" fontId="7" fillId="0" borderId="44" xfId="0" applyFont="1" applyBorder="1" applyAlignment="1">
      <alignment horizontal="left" vertical="center"/>
    </xf>
    <xf numFmtId="0" fontId="7" fillId="0" borderId="45" xfId="0" applyFont="1" applyBorder="1" applyAlignment="1">
      <alignment horizontal="left" vertical="center"/>
    </xf>
    <xf numFmtId="0" fontId="5" fillId="0" borderId="7" xfId="0" applyFont="1" applyBorder="1" applyAlignment="1">
      <alignment vertical="center"/>
    </xf>
    <xf numFmtId="0" fontId="2" fillId="7" borderId="21" xfId="0" applyFont="1" applyFill="1" applyBorder="1" applyAlignment="1">
      <alignment horizontal="left" vertical="center"/>
    </xf>
    <xf numFmtId="0" fontId="3" fillId="10" borderId="18" xfId="0" applyFont="1" applyFill="1" applyBorder="1" applyAlignment="1">
      <alignment horizontal="center" vertical="center"/>
    </xf>
    <xf numFmtId="0" fontId="3" fillId="10" borderId="21" xfId="0" applyFont="1" applyFill="1" applyBorder="1" applyAlignment="1">
      <alignment horizontal="center" vertical="center"/>
    </xf>
    <xf numFmtId="3" fontId="0" fillId="7" borderId="20" xfId="0" applyNumberFormat="1" applyFill="1" applyBorder="1" applyAlignment="1">
      <alignment horizontal="center" vertical="center"/>
    </xf>
    <xf numFmtId="3" fontId="4" fillId="8" borderId="39" xfId="0" applyNumberFormat="1" applyFont="1" applyFill="1" applyBorder="1" applyAlignment="1">
      <alignment horizontal="center" vertical="center"/>
    </xf>
    <xf numFmtId="3" fontId="4" fillId="8" borderId="39" xfId="0" applyNumberFormat="1" applyFont="1" applyFill="1" applyBorder="1" applyAlignment="1">
      <alignment horizontal="center" vertical="center" wrapText="1"/>
    </xf>
    <xf numFmtId="3" fontId="4" fillId="8" borderId="25" xfId="0" applyNumberFormat="1" applyFont="1" applyFill="1" applyBorder="1" applyAlignment="1">
      <alignment horizontal="center" vertical="center"/>
    </xf>
    <xf numFmtId="3" fontId="4" fillId="8" borderId="14" xfId="0" applyNumberFormat="1" applyFont="1" applyFill="1" applyBorder="1" applyAlignment="1">
      <alignment horizontal="center" vertical="center"/>
    </xf>
    <xf numFmtId="10" fontId="0" fillId="8" borderId="9" xfId="2" applyNumberFormat="1" applyFont="1" applyFill="1" applyBorder="1" applyAlignment="1" applyProtection="1">
      <alignment horizontal="center" vertical="center"/>
      <protection locked="0"/>
    </xf>
    <xf numFmtId="10" fontId="0" fillId="8" borderId="12" xfId="2" applyNumberFormat="1" applyFont="1" applyFill="1" applyBorder="1" applyAlignment="1" applyProtection="1">
      <alignment horizontal="center" vertical="center"/>
      <protection locked="0"/>
    </xf>
    <xf numFmtId="3" fontId="0" fillId="8" borderId="12" xfId="0" applyNumberFormat="1" applyFill="1" applyBorder="1" applyAlignment="1" applyProtection="1">
      <alignment horizontal="center" vertical="center"/>
      <protection locked="0"/>
    </xf>
    <xf numFmtId="10" fontId="0" fillId="8" borderId="16" xfId="2" applyNumberFormat="1" applyFont="1" applyFill="1" applyBorder="1" applyAlignment="1" applyProtection="1">
      <alignment horizontal="center" vertical="center"/>
      <protection locked="0"/>
    </xf>
    <xf numFmtId="10" fontId="0" fillId="8" borderId="24" xfId="2" applyNumberFormat="1" applyFont="1" applyFill="1" applyBorder="1" applyAlignment="1" applyProtection="1">
      <alignment horizontal="center" vertical="center"/>
      <protection locked="0"/>
    </xf>
    <xf numFmtId="10" fontId="0" fillId="0" borderId="0" xfId="2" applyNumberFormat="1" applyFont="1"/>
    <xf numFmtId="165" fontId="4" fillId="8" borderId="18" xfId="0" applyNumberFormat="1" applyFont="1" applyFill="1" applyBorder="1" applyAlignment="1">
      <alignment horizontal="left" vertical="center" wrapText="1"/>
    </xf>
    <xf numFmtId="165" fontId="4" fillId="8" borderId="19" xfId="0" applyNumberFormat="1" applyFont="1" applyFill="1" applyBorder="1" applyAlignment="1">
      <alignment horizontal="left" vertical="center" wrapText="1"/>
    </xf>
    <xf numFmtId="165" fontId="4" fillId="8" borderId="21" xfId="0" applyNumberFormat="1" applyFont="1" applyFill="1" applyBorder="1" applyAlignment="1">
      <alignment horizontal="left" vertical="center" wrapText="1"/>
    </xf>
    <xf numFmtId="164" fontId="0" fillId="0" borderId="0" xfId="0" applyNumberFormat="1"/>
    <xf numFmtId="169" fontId="0" fillId="0" borderId="0" xfId="2" applyNumberFormat="1" applyFont="1" applyAlignment="1">
      <alignment vertical="center"/>
    </xf>
    <xf numFmtId="4" fontId="2" fillId="7" borderId="20" xfId="0" applyNumberFormat="1" applyFont="1" applyFill="1" applyBorder="1" applyAlignment="1">
      <alignment horizontal="center" vertical="center"/>
    </xf>
    <xf numFmtId="165" fontId="0" fillId="4" borderId="21" xfId="0" applyNumberFormat="1" applyFill="1" applyBorder="1" applyAlignment="1" applyProtection="1">
      <alignment horizontal="center" vertical="center"/>
      <protection locked="0"/>
    </xf>
    <xf numFmtId="0" fontId="2" fillId="5" borderId="18" xfId="0" applyFont="1" applyFill="1" applyBorder="1" applyAlignment="1">
      <alignment horizontal="center" vertical="center"/>
    </xf>
    <xf numFmtId="0" fontId="2" fillId="5" borderId="21" xfId="0" applyFont="1" applyFill="1" applyBorder="1" applyAlignment="1">
      <alignment horizontal="center" vertical="center"/>
    </xf>
    <xf numFmtId="10" fontId="0" fillId="5" borderId="21" xfId="2" applyNumberFormat="1" applyFont="1" applyFill="1" applyBorder="1" applyAlignment="1" applyProtection="1">
      <alignment horizontal="center" vertical="center"/>
      <protection locked="0"/>
    </xf>
    <xf numFmtId="10" fontId="0" fillId="5" borderId="6" xfId="2" applyNumberFormat="1" applyFont="1" applyFill="1" applyBorder="1" applyAlignment="1" applyProtection="1">
      <alignment horizontal="center" vertical="center"/>
      <protection locked="0"/>
    </xf>
    <xf numFmtId="0" fontId="2" fillId="7" borderId="19" xfId="0" applyFont="1" applyFill="1" applyBorder="1" applyAlignment="1">
      <alignment horizontal="center" vertical="center"/>
    </xf>
    <xf numFmtId="10" fontId="0" fillId="7" borderId="0" xfId="2" applyNumberFormat="1" applyFont="1" applyFill="1" applyBorder="1" applyAlignment="1">
      <alignment horizontal="center" vertical="center"/>
    </xf>
    <xf numFmtId="165" fontId="0" fillId="5" borderId="21" xfId="0" applyNumberFormat="1" applyFill="1" applyBorder="1" applyAlignment="1" applyProtection="1">
      <alignment horizontal="center" vertical="center"/>
      <protection locked="0"/>
    </xf>
    <xf numFmtId="0" fontId="8" fillId="0" borderId="17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</cellXfs>
  <cellStyles count="3">
    <cellStyle name="Navadno" xfId="0" builtinId="0"/>
    <cellStyle name="Odstotek" xfId="2" builtinId="5"/>
    <cellStyle name="Vejic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isar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E35EB-6ABB-4568-B60B-3AD178EB724C}">
  <dimension ref="A1:T63"/>
  <sheetViews>
    <sheetView tabSelected="1" topLeftCell="A22" zoomScale="80" zoomScaleNormal="80" workbookViewId="0">
      <selection activeCell="A47" sqref="A47:B47"/>
    </sheetView>
  </sheetViews>
  <sheetFormatPr defaultRowHeight="15" x14ac:dyDescent="0.25"/>
  <cols>
    <col min="1" max="1" width="23.85546875" customWidth="1"/>
    <col min="2" max="2" width="20" customWidth="1"/>
    <col min="3" max="4" width="17.7109375" customWidth="1"/>
    <col min="5" max="5" width="16.42578125" bestFit="1" customWidth="1"/>
    <col min="6" max="6" width="12.140625" customWidth="1"/>
    <col min="7" max="7" width="20.7109375" customWidth="1"/>
    <col min="8" max="8" width="20.42578125" customWidth="1"/>
    <col min="9" max="9" width="19.42578125" customWidth="1"/>
    <col min="10" max="10" width="15.28515625" customWidth="1"/>
    <col min="11" max="11" width="19.85546875" customWidth="1"/>
    <col min="12" max="12" width="13.7109375" customWidth="1"/>
  </cols>
  <sheetData>
    <row r="1" spans="1:14" ht="25.5" customHeight="1" x14ac:dyDescent="0.25">
      <c r="A1" s="188" t="s">
        <v>63</v>
      </c>
      <c r="B1" s="188"/>
      <c r="C1" s="188"/>
      <c r="D1" s="188"/>
      <c r="E1" s="188"/>
      <c r="F1" s="189"/>
      <c r="G1" s="188"/>
      <c r="H1" s="188"/>
      <c r="I1" s="188"/>
      <c r="J1" s="188"/>
      <c r="K1" s="188"/>
      <c r="L1" s="2"/>
      <c r="M1" s="2"/>
      <c r="N1" s="2"/>
    </row>
    <row r="2" spans="1:14" x14ac:dyDescent="0.25">
      <c r="A2" s="151" t="s">
        <v>61</v>
      </c>
      <c r="B2" s="151"/>
      <c r="C2" s="151"/>
      <c r="D2" s="151"/>
      <c r="E2" s="151"/>
      <c r="F2" s="124"/>
      <c r="G2" s="151" t="s">
        <v>62</v>
      </c>
      <c r="H2" s="151"/>
      <c r="I2" s="151"/>
      <c r="J2" s="151"/>
      <c r="K2" s="151"/>
      <c r="L2" s="2"/>
      <c r="M2" s="2"/>
      <c r="N2" s="2"/>
    </row>
    <row r="3" spans="1:14" x14ac:dyDescent="0.25">
      <c r="A3" s="151" t="s">
        <v>60</v>
      </c>
      <c r="B3" s="151"/>
      <c r="C3" s="151"/>
      <c r="D3" s="152">
        <v>24000</v>
      </c>
      <c r="E3" s="152"/>
      <c r="F3" s="2"/>
      <c r="G3" s="151" t="s">
        <v>60</v>
      </c>
      <c r="H3" s="151"/>
      <c r="I3" s="151"/>
      <c r="J3" s="152">
        <v>20700</v>
      </c>
      <c r="K3" s="152"/>
      <c r="L3" s="2"/>
      <c r="M3" s="2"/>
      <c r="N3" s="2"/>
    </row>
    <row r="4" spans="1:14" x14ac:dyDescent="0.25">
      <c r="A4" s="151" t="s">
        <v>65</v>
      </c>
      <c r="B4" s="151"/>
      <c r="C4" s="151"/>
      <c r="D4" s="153">
        <v>1300</v>
      </c>
      <c r="E4" s="153"/>
      <c r="F4" s="2"/>
      <c r="G4" s="151" t="s">
        <v>65</v>
      </c>
      <c r="H4" s="151"/>
      <c r="I4" s="151"/>
      <c r="J4" s="153">
        <v>1000</v>
      </c>
      <c r="K4" s="153"/>
      <c r="L4" s="2"/>
      <c r="M4" s="2"/>
      <c r="N4" s="2"/>
    </row>
    <row r="5" spans="1:14" x14ac:dyDescent="0.25">
      <c r="A5" s="157" t="s">
        <v>66</v>
      </c>
      <c r="B5" s="158"/>
      <c r="C5" s="154" t="s">
        <v>67</v>
      </c>
      <c r="D5" s="155"/>
      <c r="E5" s="156"/>
      <c r="F5" s="2"/>
      <c r="G5" s="157" t="s">
        <v>66</v>
      </c>
      <c r="H5" s="158"/>
      <c r="I5" s="154" t="s">
        <v>67</v>
      </c>
      <c r="J5" s="155"/>
      <c r="K5" s="156"/>
      <c r="L5" s="2"/>
      <c r="M5" s="2"/>
      <c r="N5" s="2"/>
    </row>
    <row r="6" spans="1:14" ht="15.75" thickBot="1" x14ac:dyDescent="0.3">
      <c r="A6" s="1"/>
      <c r="B6" s="149"/>
      <c r="D6" s="2"/>
      <c r="E6" s="2"/>
      <c r="F6" s="2"/>
      <c r="G6" s="2"/>
      <c r="H6" s="149"/>
      <c r="I6" s="150"/>
      <c r="J6" s="2"/>
      <c r="K6" s="2"/>
      <c r="L6" s="2"/>
      <c r="M6" s="2"/>
      <c r="N6" s="2"/>
    </row>
    <row r="7" spans="1:14" x14ac:dyDescent="0.25">
      <c r="A7" s="107" t="s">
        <v>4</v>
      </c>
      <c r="B7" s="2"/>
      <c r="C7" s="2"/>
      <c r="D7" s="2"/>
      <c r="E7" s="2"/>
      <c r="F7" s="2"/>
      <c r="G7" s="107" t="s">
        <v>4</v>
      </c>
      <c r="H7" s="124"/>
      <c r="I7" s="2"/>
      <c r="J7" s="2"/>
      <c r="K7" s="2"/>
      <c r="L7" s="2"/>
    </row>
    <row r="8" spans="1:14" x14ac:dyDescent="0.25">
      <c r="A8" s="108" t="s">
        <v>40</v>
      </c>
      <c r="B8" s="2"/>
      <c r="C8" s="2"/>
      <c r="D8" s="2"/>
      <c r="E8" s="2"/>
      <c r="F8" s="2"/>
      <c r="G8" s="108" t="s">
        <v>40</v>
      </c>
      <c r="H8" s="124"/>
      <c r="I8" s="2"/>
      <c r="J8" s="2"/>
      <c r="K8" s="2"/>
      <c r="L8" s="2"/>
    </row>
    <row r="9" spans="1:14" x14ac:dyDescent="0.25">
      <c r="A9" s="108" t="s">
        <v>41</v>
      </c>
      <c r="B9" s="2"/>
      <c r="C9" s="2"/>
      <c r="D9" s="2"/>
      <c r="E9" s="2"/>
      <c r="F9" s="2"/>
      <c r="G9" s="108" t="s">
        <v>41</v>
      </c>
      <c r="H9" s="124"/>
      <c r="I9" s="2"/>
      <c r="J9" s="2"/>
      <c r="K9" s="2"/>
      <c r="L9" s="2"/>
    </row>
    <row r="10" spans="1:14" ht="15.75" thickBot="1" x14ac:dyDescent="0.3">
      <c r="A10" s="109" t="s">
        <v>42</v>
      </c>
      <c r="B10" s="2"/>
      <c r="C10" s="2"/>
      <c r="D10" s="2"/>
      <c r="E10" s="2"/>
      <c r="F10" s="2"/>
      <c r="G10" s="109" t="s">
        <v>42</v>
      </c>
      <c r="H10" s="124"/>
      <c r="I10" s="2"/>
      <c r="J10" s="2"/>
      <c r="K10" s="2"/>
      <c r="L10" s="2"/>
    </row>
    <row r="11" spans="1:14" x14ac:dyDescent="0.25">
      <c r="A11" s="8" t="s">
        <v>39</v>
      </c>
      <c r="B11" s="28"/>
      <c r="C11" s="28"/>
      <c r="D11" s="28"/>
      <c r="E11" s="29"/>
      <c r="F11" s="113"/>
      <c r="G11" s="8" t="s">
        <v>50</v>
      </c>
      <c r="H11" s="28"/>
      <c r="I11" s="28"/>
      <c r="J11" s="28"/>
      <c r="K11" s="29"/>
    </row>
    <row r="12" spans="1:14" x14ac:dyDescent="0.25">
      <c r="A12" s="16"/>
      <c r="B12" s="30" t="s">
        <v>10</v>
      </c>
      <c r="C12" s="31" t="s">
        <v>11</v>
      </c>
      <c r="D12" s="31" t="s">
        <v>12</v>
      </c>
      <c r="E12" s="110" t="s">
        <v>13</v>
      </c>
      <c r="F12" s="114"/>
      <c r="G12" s="16"/>
      <c r="H12" s="30" t="s">
        <v>10</v>
      </c>
      <c r="I12" s="31" t="s">
        <v>11</v>
      </c>
      <c r="J12" s="31" t="s">
        <v>12</v>
      </c>
      <c r="K12" s="110" t="s">
        <v>13</v>
      </c>
    </row>
    <row r="13" spans="1:14" x14ac:dyDescent="0.25">
      <c r="A13" s="36" t="s">
        <v>4</v>
      </c>
      <c r="B13" s="37">
        <v>0.8</v>
      </c>
      <c r="C13" s="38">
        <f>1300*0.8</f>
        <v>1040</v>
      </c>
      <c r="D13" s="39">
        <v>11.57</v>
      </c>
      <c r="E13" s="111">
        <f>C13*D13</f>
        <v>12032.800000000001</v>
      </c>
      <c r="F13" s="115"/>
      <c r="G13" s="36" t="s">
        <v>4</v>
      </c>
      <c r="H13" s="37">
        <v>0.8</v>
      </c>
      <c r="I13" s="38">
        <f>1000*0.8</f>
        <v>800</v>
      </c>
      <c r="J13" s="39">
        <v>11.57</v>
      </c>
      <c r="K13" s="111">
        <f>I13*J13</f>
        <v>9256</v>
      </c>
    </row>
    <row r="14" spans="1:14" x14ac:dyDescent="0.25">
      <c r="A14" s="159" t="s">
        <v>16</v>
      </c>
      <c r="B14" s="40">
        <v>0.2</v>
      </c>
      <c r="C14" s="38">
        <f>1300*0.2</f>
        <v>260</v>
      </c>
      <c r="D14" s="39">
        <v>22</v>
      </c>
      <c r="E14" s="111">
        <f>C14*D14</f>
        <v>5720</v>
      </c>
      <c r="F14" s="115"/>
      <c r="G14" s="98" t="s">
        <v>16</v>
      </c>
      <c r="H14" s="40">
        <v>0.2</v>
      </c>
      <c r="I14" s="38">
        <f>1000*0.2</f>
        <v>200</v>
      </c>
      <c r="J14" s="39">
        <v>22</v>
      </c>
      <c r="K14" s="111">
        <f>I14*J14</f>
        <v>4400</v>
      </c>
    </row>
    <row r="15" spans="1:14" ht="15.75" thickBot="1" x14ac:dyDescent="0.3">
      <c r="A15" s="24"/>
      <c r="B15" s="41">
        <f>SUM(B13:B14)</f>
        <v>1</v>
      </c>
      <c r="C15" s="42">
        <f>SUM(C13:C14)</f>
        <v>1300</v>
      </c>
      <c r="D15" s="43"/>
      <c r="E15" s="112">
        <f>SUM(E13:E14)</f>
        <v>17752.800000000003</v>
      </c>
      <c r="F15" s="116"/>
      <c r="G15" s="24"/>
      <c r="H15" s="41">
        <f>SUM(H13:H14)</f>
        <v>1</v>
      </c>
      <c r="I15" s="42">
        <f>SUM(I13:I14)</f>
        <v>1000</v>
      </c>
      <c r="J15" s="43"/>
      <c r="K15" s="112">
        <f>SUM(K13:K14)</f>
        <v>13656</v>
      </c>
    </row>
    <row r="16" spans="1:14" x14ac:dyDescent="0.25">
      <c r="A16" s="1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20" x14ac:dyDescent="0.25">
      <c r="A17" s="1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20" ht="15.75" thickBot="1" x14ac:dyDescent="0.3">
      <c r="A18" s="1" t="s">
        <v>52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</row>
    <row r="19" spans="1:20" ht="25.5" customHeight="1" x14ac:dyDescent="0.25">
      <c r="A19" s="3" t="s">
        <v>0</v>
      </c>
      <c r="B19" s="4" t="s">
        <v>53</v>
      </c>
      <c r="C19" s="5" t="s">
        <v>2</v>
      </c>
      <c r="D19" s="5" t="s">
        <v>55</v>
      </c>
      <c r="E19" s="6" t="s">
        <v>3</v>
      </c>
      <c r="F19" s="7"/>
      <c r="G19" s="92" t="s">
        <v>43</v>
      </c>
      <c r="H19" s="4" t="s">
        <v>53</v>
      </c>
      <c r="I19" s="5" t="s">
        <v>2</v>
      </c>
      <c r="J19" s="5" t="s">
        <v>55</v>
      </c>
      <c r="K19" s="6" t="s">
        <v>3</v>
      </c>
      <c r="L19" s="2"/>
      <c r="P19" s="2"/>
      <c r="Q19" s="2"/>
      <c r="R19" s="2"/>
      <c r="S19" s="2"/>
      <c r="T19" s="2"/>
    </row>
    <row r="20" spans="1:20" ht="26.25" customHeight="1" thickBot="1" x14ac:dyDescent="0.3">
      <c r="A20" s="11"/>
      <c r="B20" s="12"/>
      <c r="C20" s="13"/>
      <c r="D20" s="123"/>
      <c r="E20" s="14"/>
      <c r="F20" s="15"/>
      <c r="G20" s="93"/>
      <c r="H20" s="12"/>
      <c r="I20" s="13"/>
      <c r="J20" s="123"/>
      <c r="K20" s="14"/>
      <c r="L20" s="2"/>
      <c r="P20" s="2"/>
      <c r="Q20" s="2"/>
      <c r="R20" s="2"/>
      <c r="S20" s="2"/>
      <c r="T20" s="2"/>
    </row>
    <row r="21" spans="1:20" x14ac:dyDescent="0.25">
      <c r="A21" s="18" t="s">
        <v>5</v>
      </c>
      <c r="B21" s="89">
        <v>22</v>
      </c>
      <c r="C21" s="19">
        <v>100</v>
      </c>
      <c r="D21" s="168">
        <f>C21/C44</f>
        <v>6.6401062416998669E-2</v>
      </c>
      <c r="E21" s="20">
        <f>B21*C21</f>
        <v>2200</v>
      </c>
      <c r="F21" s="2"/>
      <c r="G21" s="18" t="s">
        <v>5</v>
      </c>
      <c r="H21" s="90">
        <v>22</v>
      </c>
      <c r="I21" s="19">
        <v>100</v>
      </c>
      <c r="J21" s="168">
        <f>I21/I44</f>
        <v>7.7041602465331274E-2</v>
      </c>
      <c r="K21" s="20">
        <f>H21*I21</f>
        <v>2200</v>
      </c>
      <c r="L21" s="2"/>
      <c r="P21" s="2"/>
      <c r="Q21" s="2"/>
      <c r="R21" s="2"/>
      <c r="S21" s="2"/>
      <c r="T21" s="2"/>
    </row>
    <row r="22" spans="1:20" x14ac:dyDescent="0.25">
      <c r="A22" s="21" t="s">
        <v>6</v>
      </c>
      <c r="B22" s="90">
        <v>22</v>
      </c>
      <c r="C22" s="91">
        <v>100</v>
      </c>
      <c r="D22" s="169">
        <f>C22/C44</f>
        <v>6.6401062416998669E-2</v>
      </c>
      <c r="E22" s="23">
        <f t="shared" ref="E22:E41" si="0">B22*C22</f>
        <v>2200</v>
      </c>
      <c r="F22" s="2"/>
      <c r="G22" s="21" t="s">
        <v>6</v>
      </c>
      <c r="H22" s="90">
        <v>22</v>
      </c>
      <c r="I22" s="91">
        <v>87</v>
      </c>
      <c r="J22" s="169">
        <f>I22/I44</f>
        <v>6.7026194144838208E-2</v>
      </c>
      <c r="K22" s="23">
        <f>H22*I22</f>
        <v>1914</v>
      </c>
      <c r="L22" s="2"/>
      <c r="P22" s="2"/>
      <c r="Q22" s="2"/>
      <c r="R22" s="2"/>
      <c r="S22" s="2"/>
      <c r="T22" s="2"/>
    </row>
    <row r="23" spans="1:20" x14ac:dyDescent="0.25">
      <c r="A23" s="27" t="s">
        <v>7</v>
      </c>
      <c r="B23" s="90">
        <v>22</v>
      </c>
      <c r="C23" s="91">
        <v>25</v>
      </c>
      <c r="D23" s="169">
        <f>C23/C44</f>
        <v>1.6600265604249667E-2</v>
      </c>
      <c r="E23" s="23">
        <f t="shared" si="0"/>
        <v>550</v>
      </c>
      <c r="F23" s="2"/>
      <c r="G23" s="27" t="s">
        <v>7</v>
      </c>
      <c r="H23" s="90">
        <v>22</v>
      </c>
      <c r="I23" s="91"/>
      <c r="J23" s="169">
        <f>I23/I44</f>
        <v>0</v>
      </c>
      <c r="K23" s="23">
        <f>H23*I23</f>
        <v>0</v>
      </c>
      <c r="L23" s="2"/>
      <c r="M23" s="2"/>
      <c r="N23" s="2"/>
      <c r="O23" s="2"/>
      <c r="P23" s="2"/>
      <c r="Q23" s="2"/>
      <c r="R23" s="2"/>
      <c r="S23" s="2"/>
      <c r="T23" s="2"/>
    </row>
    <row r="24" spans="1:20" x14ac:dyDescent="0.25">
      <c r="A24" s="27" t="s">
        <v>8</v>
      </c>
      <c r="B24" s="90">
        <v>22</v>
      </c>
      <c r="C24" s="91"/>
      <c r="D24" s="169">
        <f>C24/C44</f>
        <v>0</v>
      </c>
      <c r="E24" s="23">
        <f t="shared" si="0"/>
        <v>0</v>
      </c>
      <c r="F24" s="2"/>
      <c r="G24" s="27" t="s">
        <v>8</v>
      </c>
      <c r="H24" s="90">
        <v>22</v>
      </c>
      <c r="I24" s="91"/>
      <c r="J24" s="169">
        <f>I24/I44</f>
        <v>0</v>
      </c>
      <c r="K24" s="23">
        <f>H24*I24</f>
        <v>0</v>
      </c>
      <c r="L24" s="2"/>
      <c r="T24" s="2"/>
    </row>
    <row r="25" spans="1:20" ht="15.75" thickBot="1" x14ac:dyDescent="0.3">
      <c r="A25" s="27" t="s">
        <v>9</v>
      </c>
      <c r="B25" s="45">
        <v>22</v>
      </c>
      <c r="C25" s="88"/>
      <c r="D25" s="147"/>
      <c r="E25" s="23">
        <f t="shared" si="0"/>
        <v>0</v>
      </c>
      <c r="F25" s="2"/>
      <c r="G25" s="27" t="s">
        <v>9</v>
      </c>
      <c r="H25" s="90">
        <v>22</v>
      </c>
      <c r="I25" s="88"/>
      <c r="J25" s="117"/>
      <c r="K25" s="23">
        <f>H25*I25</f>
        <v>0</v>
      </c>
      <c r="L25" s="2"/>
      <c r="T25" s="2"/>
    </row>
    <row r="26" spans="1:20" ht="15.75" thickBot="1" x14ac:dyDescent="0.3">
      <c r="A26" s="144" t="s">
        <v>58</v>
      </c>
      <c r="B26" s="145"/>
      <c r="C26" s="34">
        <f>SUM(C21:C25)</f>
        <v>225</v>
      </c>
      <c r="D26" s="148">
        <f>C26/C44</f>
        <v>0.14940239043824702</v>
      </c>
      <c r="E26" s="35">
        <f>SUM(E21:E25)</f>
        <v>4950</v>
      </c>
      <c r="F26" s="2"/>
      <c r="G26" s="144" t="s">
        <v>58</v>
      </c>
      <c r="H26" s="145"/>
      <c r="I26" s="34">
        <f>SUM(I21:I25)</f>
        <v>187</v>
      </c>
      <c r="J26" s="148">
        <f>I26/I44</f>
        <v>0.1440677966101695</v>
      </c>
      <c r="K26" s="35">
        <f>SUM(K21:K25)</f>
        <v>4114</v>
      </c>
      <c r="L26" s="2"/>
      <c r="T26" s="2"/>
    </row>
    <row r="27" spans="1:20" x14ac:dyDescent="0.25">
      <c r="A27" s="18" t="s">
        <v>15</v>
      </c>
      <c r="B27" s="89">
        <v>22</v>
      </c>
      <c r="C27" s="19">
        <v>60</v>
      </c>
      <c r="D27" s="168">
        <f>C27/C44</f>
        <v>3.9840637450199202E-2</v>
      </c>
      <c r="E27" s="20">
        <f t="shared" si="0"/>
        <v>1320</v>
      </c>
      <c r="F27" s="2"/>
      <c r="G27" s="18" t="s">
        <v>15</v>
      </c>
      <c r="H27" s="90">
        <v>22</v>
      </c>
      <c r="I27" s="19">
        <v>60</v>
      </c>
      <c r="J27" s="168">
        <f>I27/I44</f>
        <v>4.6224961479198766E-2</v>
      </c>
      <c r="K27" s="20">
        <f>H27*I27</f>
        <v>1320</v>
      </c>
      <c r="L27" s="2"/>
      <c r="T27" s="2"/>
    </row>
    <row r="28" spans="1:20" x14ac:dyDescent="0.25">
      <c r="A28" s="21" t="s">
        <v>17</v>
      </c>
      <c r="B28" s="90">
        <v>22</v>
      </c>
      <c r="C28" s="91"/>
      <c r="D28" s="169">
        <f>C28/C44</f>
        <v>0</v>
      </c>
      <c r="E28" s="23">
        <f t="shared" si="0"/>
        <v>0</v>
      </c>
      <c r="F28" s="2"/>
      <c r="G28" s="21" t="s">
        <v>17</v>
      </c>
      <c r="H28" s="90">
        <v>22</v>
      </c>
      <c r="I28" s="91"/>
      <c r="J28" s="169">
        <f>I28/I44</f>
        <v>0</v>
      </c>
      <c r="K28" s="23">
        <f>H28*I28</f>
        <v>0</v>
      </c>
      <c r="L28" s="2"/>
      <c r="T28" s="2"/>
    </row>
    <row r="29" spans="1:20" x14ac:dyDescent="0.25">
      <c r="A29" s="27" t="s">
        <v>18</v>
      </c>
      <c r="B29" s="90">
        <v>22</v>
      </c>
      <c r="C29" s="91"/>
      <c r="D29" s="169">
        <f>C29/C44</f>
        <v>0</v>
      </c>
      <c r="E29" s="23">
        <f t="shared" si="0"/>
        <v>0</v>
      </c>
      <c r="F29" s="2"/>
      <c r="G29" s="27" t="s">
        <v>18</v>
      </c>
      <c r="H29" s="90">
        <v>22</v>
      </c>
      <c r="I29" s="91"/>
      <c r="J29" s="169">
        <f>I29/I44</f>
        <v>0</v>
      </c>
      <c r="K29" s="23">
        <f>H29*I29</f>
        <v>0</v>
      </c>
      <c r="L29" s="2"/>
      <c r="M29" s="2"/>
      <c r="N29" s="2"/>
      <c r="O29" s="2"/>
      <c r="P29" s="2"/>
      <c r="Q29" s="2"/>
      <c r="R29" s="2"/>
      <c r="S29" s="2"/>
      <c r="T29" s="2"/>
    </row>
    <row r="30" spans="1:20" x14ac:dyDescent="0.25">
      <c r="A30" s="27" t="s">
        <v>19</v>
      </c>
      <c r="B30" s="90">
        <v>22</v>
      </c>
      <c r="C30" s="91"/>
      <c r="D30" s="169">
        <f>C29/C44</f>
        <v>0</v>
      </c>
      <c r="E30" s="23">
        <f t="shared" si="0"/>
        <v>0</v>
      </c>
      <c r="F30" s="2"/>
      <c r="G30" s="27" t="s">
        <v>19</v>
      </c>
      <c r="H30" s="90">
        <v>22</v>
      </c>
      <c r="I30" s="91"/>
      <c r="J30" s="169">
        <f>I29/I44</f>
        <v>0</v>
      </c>
      <c r="K30" s="23">
        <f>H30*I30</f>
        <v>0</v>
      </c>
      <c r="L30" s="2"/>
      <c r="M30" s="2"/>
      <c r="N30" s="2"/>
      <c r="O30" s="2"/>
      <c r="P30" s="2"/>
      <c r="Q30" s="2"/>
      <c r="R30" s="2"/>
      <c r="S30" s="2"/>
      <c r="T30" s="2"/>
    </row>
    <row r="31" spans="1:20" ht="15.75" thickBot="1" x14ac:dyDescent="0.3">
      <c r="A31" s="27" t="s">
        <v>20</v>
      </c>
      <c r="B31" s="45">
        <v>22</v>
      </c>
      <c r="C31" s="91"/>
      <c r="D31" s="169"/>
      <c r="E31" s="23">
        <f t="shared" si="0"/>
        <v>0</v>
      </c>
      <c r="F31" s="2"/>
      <c r="G31" s="27" t="s">
        <v>20</v>
      </c>
      <c r="H31" s="90">
        <v>22</v>
      </c>
      <c r="I31" s="91"/>
      <c r="J31" s="170"/>
      <c r="K31" s="23">
        <f>H31*I31</f>
        <v>0</v>
      </c>
      <c r="L31" s="2"/>
      <c r="M31" s="2"/>
      <c r="N31" s="2"/>
      <c r="O31" s="2"/>
      <c r="P31" s="2"/>
      <c r="Q31" s="2"/>
      <c r="R31" s="2"/>
      <c r="S31" s="2"/>
      <c r="T31" s="2"/>
    </row>
    <row r="32" spans="1:20" ht="15.75" thickBot="1" x14ac:dyDescent="0.3">
      <c r="A32" s="144" t="s">
        <v>59</v>
      </c>
      <c r="B32" s="145"/>
      <c r="C32" s="34">
        <f>SUM(C27:C31)</f>
        <v>60</v>
      </c>
      <c r="D32" s="148">
        <f>C32/C44</f>
        <v>3.9840637450199202E-2</v>
      </c>
      <c r="E32" s="35">
        <f>SUM(E27:E31)</f>
        <v>1320</v>
      </c>
      <c r="F32" s="2"/>
      <c r="G32" s="144" t="s">
        <v>59</v>
      </c>
      <c r="H32" s="145"/>
      <c r="I32" s="34">
        <f>SUM(I27:I31)</f>
        <v>60</v>
      </c>
      <c r="J32" s="148">
        <f>I32/I44</f>
        <v>4.6224961479198766E-2</v>
      </c>
      <c r="K32" s="35">
        <f>SUM(K27:K31)</f>
        <v>1320</v>
      </c>
      <c r="L32" s="2"/>
      <c r="M32" s="2"/>
      <c r="N32" s="2"/>
      <c r="O32" s="2"/>
      <c r="P32" s="2"/>
      <c r="Q32" s="2"/>
      <c r="R32" s="2"/>
      <c r="S32" s="2"/>
      <c r="T32" s="2"/>
    </row>
    <row r="33" spans="1:20" x14ac:dyDescent="0.25">
      <c r="A33" s="18" t="s">
        <v>22</v>
      </c>
      <c r="B33" s="89">
        <v>11.57</v>
      </c>
      <c r="C33" s="19">
        <v>140</v>
      </c>
      <c r="D33" s="168">
        <f>C33/C44</f>
        <v>9.2961487383798141E-2</v>
      </c>
      <c r="E33" s="20">
        <f t="shared" si="0"/>
        <v>1619.8</v>
      </c>
      <c r="F33" s="2"/>
      <c r="G33" s="18" t="s">
        <v>22</v>
      </c>
      <c r="H33" s="140">
        <v>11.57</v>
      </c>
      <c r="I33" s="19">
        <v>140</v>
      </c>
      <c r="J33" s="168">
        <f>I33/I44</f>
        <v>0.10785824345146379</v>
      </c>
      <c r="K33" s="20">
        <f t="shared" ref="K33:K40" si="1">H33*I33</f>
        <v>1619.8</v>
      </c>
      <c r="L33" s="2"/>
      <c r="M33" s="2"/>
      <c r="N33" s="2"/>
      <c r="O33" s="2"/>
      <c r="P33" s="2"/>
      <c r="Q33" s="2"/>
      <c r="R33" s="2"/>
      <c r="S33" s="2"/>
      <c r="T33" s="2"/>
    </row>
    <row r="34" spans="1:20" x14ac:dyDescent="0.25">
      <c r="A34" s="44" t="s">
        <v>23</v>
      </c>
      <c r="B34" s="90">
        <v>11.57</v>
      </c>
      <c r="C34" s="22">
        <v>140</v>
      </c>
      <c r="D34" s="169">
        <f>C34/C44</f>
        <v>9.2961487383798141E-2</v>
      </c>
      <c r="E34" s="23">
        <f t="shared" si="0"/>
        <v>1619.8</v>
      </c>
      <c r="F34" s="2"/>
      <c r="G34" s="44" t="s">
        <v>23</v>
      </c>
      <c r="H34" s="141">
        <v>11.57</v>
      </c>
      <c r="I34" s="22">
        <v>140</v>
      </c>
      <c r="J34" s="169">
        <f>I34/I44</f>
        <v>0.10785824345146379</v>
      </c>
      <c r="K34" s="23">
        <f t="shared" si="1"/>
        <v>1619.8</v>
      </c>
      <c r="L34" s="2"/>
      <c r="M34" s="2"/>
      <c r="N34" s="2"/>
      <c r="O34" s="2"/>
      <c r="P34" s="2"/>
      <c r="Q34" s="2"/>
      <c r="R34" s="2"/>
      <c r="S34" s="2"/>
      <c r="T34" s="2"/>
    </row>
    <row r="35" spans="1:20" x14ac:dyDescent="0.25">
      <c r="A35" s="44" t="s">
        <v>24</v>
      </c>
      <c r="B35" s="90">
        <v>11.57</v>
      </c>
      <c r="C35" s="22">
        <v>140</v>
      </c>
      <c r="D35" s="169">
        <f>C35/C44</f>
        <v>9.2961487383798141E-2</v>
      </c>
      <c r="E35" s="23">
        <f t="shared" si="0"/>
        <v>1619.8</v>
      </c>
      <c r="F35" s="2"/>
      <c r="G35" s="44" t="s">
        <v>24</v>
      </c>
      <c r="H35" s="141">
        <v>11.57</v>
      </c>
      <c r="I35" s="22">
        <v>140</v>
      </c>
      <c r="J35" s="169">
        <f>I35/I44</f>
        <v>0.10785824345146379</v>
      </c>
      <c r="K35" s="23">
        <f t="shared" si="1"/>
        <v>1619.8</v>
      </c>
      <c r="L35" s="2"/>
      <c r="M35" s="2"/>
      <c r="N35" s="2"/>
      <c r="O35" s="2"/>
      <c r="P35" s="2"/>
      <c r="Q35" s="2"/>
      <c r="R35" s="2"/>
      <c r="S35" s="2"/>
      <c r="T35" s="2"/>
    </row>
    <row r="36" spans="1:20" x14ac:dyDescent="0.25">
      <c r="A36" s="44" t="s">
        <v>25</v>
      </c>
      <c r="B36" s="90">
        <v>11.57</v>
      </c>
      <c r="C36" s="22">
        <v>140</v>
      </c>
      <c r="D36" s="169">
        <f>C36/C44</f>
        <v>9.2961487383798141E-2</v>
      </c>
      <c r="E36" s="23">
        <f t="shared" si="0"/>
        <v>1619.8</v>
      </c>
      <c r="F36" s="2"/>
      <c r="G36" s="44" t="s">
        <v>25</v>
      </c>
      <c r="H36" s="141">
        <v>11.57</v>
      </c>
      <c r="I36" s="22">
        <v>140</v>
      </c>
      <c r="J36" s="169">
        <f>I36/I44</f>
        <v>0.10785824345146379</v>
      </c>
      <c r="K36" s="23">
        <f t="shared" si="1"/>
        <v>1619.8</v>
      </c>
      <c r="L36" s="2"/>
      <c r="M36" s="2"/>
      <c r="N36" s="2"/>
      <c r="O36" s="2"/>
      <c r="P36" s="2"/>
      <c r="Q36" s="2"/>
      <c r="R36" s="2"/>
      <c r="S36" s="2"/>
      <c r="T36" s="2"/>
    </row>
    <row r="37" spans="1:20" x14ac:dyDescent="0.25">
      <c r="A37" s="44" t="s">
        <v>26</v>
      </c>
      <c r="B37" s="90">
        <v>11.57</v>
      </c>
      <c r="C37" s="22">
        <v>140</v>
      </c>
      <c r="D37" s="169">
        <f>C37/C44</f>
        <v>9.2961487383798141E-2</v>
      </c>
      <c r="E37" s="23">
        <f t="shared" si="0"/>
        <v>1619.8</v>
      </c>
      <c r="F37" s="2"/>
      <c r="G37" s="21" t="s">
        <v>26</v>
      </c>
      <c r="H37" s="141">
        <v>11.57</v>
      </c>
      <c r="I37" s="91">
        <v>131</v>
      </c>
      <c r="J37" s="169">
        <f>I37/I44</f>
        <v>0.10092449922958398</v>
      </c>
      <c r="K37" s="23">
        <f t="shared" si="1"/>
        <v>1515.67</v>
      </c>
      <c r="L37" s="2"/>
      <c r="M37" s="2"/>
      <c r="N37" s="2"/>
      <c r="O37" s="2"/>
      <c r="P37" s="2"/>
      <c r="Q37" s="2"/>
      <c r="R37" s="2"/>
      <c r="S37" s="2"/>
      <c r="T37" s="2"/>
    </row>
    <row r="38" spans="1:20" x14ac:dyDescent="0.25">
      <c r="A38" s="21" t="s">
        <v>27</v>
      </c>
      <c r="B38" s="90">
        <v>11.57</v>
      </c>
      <c r="C38" s="91">
        <v>131</v>
      </c>
      <c r="D38" s="169">
        <f>C38/C44</f>
        <v>8.6985391766268266E-2</v>
      </c>
      <c r="E38" s="23">
        <f t="shared" si="0"/>
        <v>1515.67</v>
      </c>
      <c r="F38" s="2"/>
      <c r="G38" s="21" t="s">
        <v>27</v>
      </c>
      <c r="H38" s="141">
        <v>11.57</v>
      </c>
      <c r="I38" s="91">
        <v>130</v>
      </c>
      <c r="J38" s="169">
        <f>I38/I44</f>
        <v>0.10015408320493066</v>
      </c>
      <c r="K38" s="23">
        <f t="shared" si="1"/>
        <v>1504.1000000000001</v>
      </c>
      <c r="L38" s="2"/>
      <c r="M38" s="2"/>
      <c r="N38" s="2"/>
      <c r="O38" s="2"/>
      <c r="P38" s="2"/>
      <c r="Q38" s="2"/>
      <c r="R38" s="2"/>
      <c r="S38" s="2"/>
      <c r="T38" s="2"/>
    </row>
    <row r="39" spans="1:20" x14ac:dyDescent="0.25">
      <c r="A39" s="21" t="s">
        <v>28</v>
      </c>
      <c r="B39" s="90">
        <v>11.57</v>
      </c>
      <c r="C39" s="91">
        <v>130</v>
      </c>
      <c r="D39" s="169">
        <f>C39/C44</f>
        <v>8.632138114209828E-2</v>
      </c>
      <c r="E39" s="23">
        <f t="shared" si="0"/>
        <v>1504.1000000000001</v>
      </c>
      <c r="F39" s="2"/>
      <c r="G39" s="21" t="s">
        <v>28</v>
      </c>
      <c r="H39" s="141">
        <v>11.57</v>
      </c>
      <c r="I39" s="91">
        <v>130</v>
      </c>
      <c r="J39" s="169">
        <f>I39/I44</f>
        <v>0.10015408320493066</v>
      </c>
      <c r="K39" s="23">
        <f t="shared" si="1"/>
        <v>1504.1000000000001</v>
      </c>
      <c r="L39" s="2"/>
      <c r="M39" s="2"/>
      <c r="N39" s="2"/>
      <c r="O39" s="2"/>
      <c r="P39" s="2"/>
      <c r="Q39" s="2"/>
      <c r="R39" s="2"/>
      <c r="S39" s="2"/>
      <c r="T39" s="2"/>
    </row>
    <row r="40" spans="1:20" x14ac:dyDescent="0.25">
      <c r="A40" s="21" t="s">
        <v>29</v>
      </c>
      <c r="B40" s="90">
        <v>11.57</v>
      </c>
      <c r="C40" s="91">
        <v>130</v>
      </c>
      <c r="D40" s="169">
        <f>C40/C44</f>
        <v>8.632138114209828E-2</v>
      </c>
      <c r="E40" s="23">
        <f t="shared" si="0"/>
        <v>1504.1000000000001</v>
      </c>
      <c r="F40" s="2"/>
      <c r="G40" s="142" t="s">
        <v>29</v>
      </c>
      <c r="H40" s="134">
        <v>11.57</v>
      </c>
      <c r="I40" s="136">
        <v>100</v>
      </c>
      <c r="J40" s="171">
        <f>I40/I44</f>
        <v>7.7041602465331274E-2</v>
      </c>
      <c r="K40" s="138">
        <f t="shared" si="1"/>
        <v>1157</v>
      </c>
      <c r="L40" s="2"/>
      <c r="M40" s="2"/>
      <c r="N40" s="2"/>
      <c r="O40" s="2"/>
      <c r="P40" s="2"/>
      <c r="Q40" s="2"/>
      <c r="R40" s="2"/>
      <c r="S40" s="2"/>
      <c r="T40" s="2"/>
    </row>
    <row r="41" spans="1:20" ht="15.75" thickBot="1" x14ac:dyDescent="0.3">
      <c r="A41" s="21" t="s">
        <v>30</v>
      </c>
      <c r="B41" s="90">
        <v>11.57</v>
      </c>
      <c r="C41" s="91">
        <v>130</v>
      </c>
      <c r="D41" s="169">
        <f>C41/C44</f>
        <v>8.632138114209828E-2</v>
      </c>
      <c r="E41" s="23">
        <f t="shared" si="0"/>
        <v>1504.1000000000001</v>
      </c>
      <c r="F41" s="2"/>
      <c r="G41" s="143"/>
      <c r="H41" s="135"/>
      <c r="I41" s="137"/>
      <c r="J41" s="172"/>
      <c r="K41" s="139"/>
      <c r="L41" s="2"/>
      <c r="M41" s="2"/>
      <c r="N41" s="2"/>
      <c r="O41" s="2"/>
      <c r="P41" s="2"/>
      <c r="Q41" s="2"/>
      <c r="R41" s="2"/>
      <c r="S41" s="2"/>
      <c r="T41" s="2"/>
    </row>
    <row r="42" spans="1:20" ht="15.75" thickBot="1" x14ac:dyDescent="0.3">
      <c r="A42" s="32" t="s">
        <v>68</v>
      </c>
      <c r="B42" s="33"/>
      <c r="C42" s="34">
        <f>SUM(C33:C41)</f>
        <v>1221</v>
      </c>
      <c r="D42" s="148">
        <f>C42/C44</f>
        <v>0.81075697211155373</v>
      </c>
      <c r="E42" s="35">
        <f>SUM(E33:E41)</f>
        <v>14126.970000000001</v>
      </c>
      <c r="F42" s="46"/>
      <c r="G42" s="32" t="s">
        <v>68</v>
      </c>
      <c r="H42" s="33"/>
      <c r="I42" s="34">
        <f>SUM(I33:I40)</f>
        <v>1051</v>
      </c>
      <c r="J42" s="148">
        <f>I42/I44</f>
        <v>0.8097072419106317</v>
      </c>
      <c r="K42" s="35">
        <f>SUM(K33:K40)</f>
        <v>12160.07</v>
      </c>
      <c r="L42" s="2"/>
      <c r="M42" s="2"/>
      <c r="N42" s="105"/>
      <c r="O42" s="2"/>
      <c r="P42" s="2"/>
      <c r="Q42" s="2"/>
      <c r="R42" s="2"/>
      <c r="S42" s="2"/>
      <c r="T42" s="2"/>
    </row>
    <row r="43" spans="1:20" ht="25.5" customHeight="1" thickBot="1" x14ac:dyDescent="0.3">
      <c r="A43" s="47" t="s">
        <v>32</v>
      </c>
      <c r="B43" s="48"/>
      <c r="C43" s="166" t="str">
        <f>IF(C42&lt;(C44*0.8),"MINUMUM UR ŠTUDENTOV SKUPAJ MORA BITI 80%","OK")</f>
        <v>OK</v>
      </c>
      <c r="D43" s="56"/>
      <c r="E43" s="50"/>
      <c r="F43" s="2"/>
      <c r="G43" s="47" t="s">
        <v>32</v>
      </c>
      <c r="H43" s="48"/>
      <c r="I43" s="164" t="str">
        <f>IF(I42&lt;(I44*0.8),"MINUMUM UR ŠTUDENTOV SKUPAJ MORA BITI 80%","OK")</f>
        <v>OK</v>
      </c>
      <c r="J43" s="56"/>
      <c r="K43" s="100"/>
      <c r="L43" s="2"/>
      <c r="M43" s="2"/>
      <c r="N43" s="2"/>
      <c r="O43" s="2"/>
      <c r="P43" s="2"/>
      <c r="Q43" s="2"/>
      <c r="R43" s="2"/>
      <c r="S43" s="2"/>
      <c r="T43" s="2"/>
    </row>
    <row r="44" spans="1:20" ht="30" customHeight="1" thickBot="1" x14ac:dyDescent="0.3">
      <c r="A44" s="128" t="s">
        <v>56</v>
      </c>
      <c r="B44" s="129"/>
      <c r="C44" s="34">
        <f>C26+C32+C42</f>
        <v>1506</v>
      </c>
      <c r="D44" s="146">
        <f>D26+D32+D42</f>
        <v>1</v>
      </c>
      <c r="E44" s="53">
        <f>E48+E47+E42+E32+E26</f>
        <v>22496.97</v>
      </c>
      <c r="F44" s="2"/>
      <c r="G44" s="128" t="s">
        <v>57</v>
      </c>
      <c r="H44" s="129"/>
      <c r="I44" s="34">
        <f>I26+I32+I42</f>
        <v>1298</v>
      </c>
      <c r="J44" s="146">
        <f>J26+J32+J42</f>
        <v>1</v>
      </c>
      <c r="K44" s="53">
        <f>K48+K47+K42+K32+K26</f>
        <v>19405.316999999999</v>
      </c>
      <c r="L44" s="15"/>
      <c r="M44" s="2"/>
      <c r="N44" s="2"/>
      <c r="O44" s="2"/>
      <c r="P44" s="2"/>
      <c r="Q44" s="2"/>
      <c r="R44" s="2"/>
      <c r="S44" s="2"/>
      <c r="T44" s="2"/>
    </row>
    <row r="45" spans="1:20" ht="25.5" customHeight="1" thickBot="1" x14ac:dyDescent="0.3">
      <c r="A45" s="54" t="s">
        <v>34</v>
      </c>
      <c r="B45" s="55"/>
      <c r="C45" s="167" t="str">
        <f>IF(C44&lt;1301,"MINIMUM UR JE 1300","OK")</f>
        <v>OK</v>
      </c>
      <c r="D45" s="56"/>
      <c r="E45" s="50"/>
      <c r="F45" s="2"/>
      <c r="G45" s="47" t="s">
        <v>34</v>
      </c>
      <c r="H45" s="48"/>
      <c r="I45" s="165" t="str">
        <f>IF(I44&lt;1000,"MINIMUM UR JE 1000","OK")</f>
        <v>OK</v>
      </c>
      <c r="J45" s="125"/>
      <c r="K45" s="100"/>
      <c r="L45" s="2"/>
      <c r="M45" s="2"/>
      <c r="N45" s="2"/>
      <c r="O45" s="2"/>
      <c r="P45" s="2"/>
      <c r="Q45" s="2"/>
      <c r="R45" s="2"/>
      <c r="S45" s="2"/>
      <c r="T45" s="2"/>
    </row>
    <row r="46" spans="1:20" ht="53.25" customHeight="1" thickBot="1" x14ac:dyDescent="0.3">
      <c r="A46" s="174" t="s">
        <v>74</v>
      </c>
      <c r="B46" s="175"/>
      <c r="C46" s="175"/>
      <c r="D46" s="175"/>
      <c r="E46" s="176"/>
      <c r="F46" s="2"/>
      <c r="G46" s="174" t="s">
        <v>74</v>
      </c>
      <c r="H46" s="175"/>
      <c r="I46" s="175"/>
      <c r="J46" s="175"/>
      <c r="K46" s="176"/>
      <c r="L46" s="2"/>
      <c r="M46" s="2"/>
      <c r="N46" s="2"/>
      <c r="O46" s="2"/>
      <c r="P46" s="2"/>
      <c r="Q46" s="2"/>
      <c r="R46" s="2"/>
      <c r="S46" s="2"/>
      <c r="T46" s="2"/>
    </row>
    <row r="47" spans="1:20" ht="30.75" customHeight="1" thickBot="1" x14ac:dyDescent="0.3">
      <c r="A47" s="130" t="s">
        <v>71</v>
      </c>
      <c r="B47" s="131"/>
      <c r="C47" s="180">
        <f>24000*7%</f>
        <v>1680.0000000000002</v>
      </c>
      <c r="D47" s="183">
        <f>C47/3600</f>
        <v>0.46666666666666673</v>
      </c>
      <c r="E47" s="60">
        <f>C47</f>
        <v>1680.0000000000002</v>
      </c>
      <c r="F47" s="2"/>
      <c r="G47" s="130" t="s">
        <v>73</v>
      </c>
      <c r="H47" s="131"/>
      <c r="I47" s="180">
        <f>20700*6.721%</f>
        <v>1391.2470000000001</v>
      </c>
      <c r="J47" s="183">
        <f>I47/3105</f>
        <v>0.44806666666666667</v>
      </c>
      <c r="K47" s="60">
        <f>I47</f>
        <v>1391.2470000000001</v>
      </c>
      <c r="L47" s="2"/>
      <c r="M47" s="105"/>
      <c r="N47" s="2"/>
      <c r="O47" s="2"/>
      <c r="P47" s="2"/>
      <c r="Q47" s="2"/>
      <c r="R47" s="2"/>
      <c r="S47" s="2"/>
      <c r="T47" s="2"/>
    </row>
    <row r="48" spans="1:20" ht="15.75" thickBot="1" x14ac:dyDescent="0.3">
      <c r="A48" s="132" t="s">
        <v>35</v>
      </c>
      <c r="B48" s="133"/>
      <c r="C48" s="180">
        <v>420</v>
      </c>
      <c r="D48" s="184">
        <f>C48/3600</f>
        <v>0.11666666666666667</v>
      </c>
      <c r="E48" s="64">
        <f>C48</f>
        <v>420</v>
      </c>
      <c r="F48" s="2"/>
      <c r="G48" s="132" t="s">
        <v>35</v>
      </c>
      <c r="H48" s="133"/>
      <c r="I48" s="180">
        <v>420</v>
      </c>
      <c r="J48" s="183">
        <f>I48/3105</f>
        <v>0.13526570048309178</v>
      </c>
      <c r="K48" s="60">
        <f>I48</f>
        <v>420</v>
      </c>
      <c r="L48" s="15"/>
      <c r="M48" s="105"/>
      <c r="N48" s="2"/>
      <c r="O48" s="2"/>
      <c r="P48" s="2"/>
      <c r="Q48" s="2"/>
      <c r="R48" s="2"/>
      <c r="S48" s="2"/>
      <c r="T48" s="2"/>
    </row>
    <row r="49" spans="1:20" ht="15.75" thickBot="1" x14ac:dyDescent="0.3">
      <c r="A49" s="144" t="s">
        <v>69</v>
      </c>
      <c r="B49" s="185"/>
      <c r="C49" s="179">
        <f>SUM(C47:C48)</f>
        <v>2100</v>
      </c>
      <c r="D49" s="148">
        <f>C49/3600</f>
        <v>0.58333333333333337</v>
      </c>
      <c r="E49" s="179">
        <f>SUM(E47:E48)</f>
        <v>2100</v>
      </c>
      <c r="F49" s="2"/>
      <c r="G49" s="144" t="s">
        <v>69</v>
      </c>
      <c r="H49" s="185"/>
      <c r="I49" s="179">
        <f>SUM(I47:I48)</f>
        <v>1811.2470000000001</v>
      </c>
      <c r="J49" s="148">
        <f>I49/3105</f>
        <v>0.58333236714975845</v>
      </c>
      <c r="K49" s="179">
        <f>SUM(K47:K48)</f>
        <v>1811.2470000000001</v>
      </c>
      <c r="L49" s="15"/>
      <c r="M49" s="105"/>
      <c r="N49" s="2"/>
      <c r="O49" s="2"/>
      <c r="P49" s="2"/>
      <c r="Q49" s="2"/>
      <c r="R49" s="2"/>
      <c r="S49" s="2"/>
      <c r="T49" s="2"/>
    </row>
    <row r="50" spans="1:20" x14ac:dyDescent="0.25">
      <c r="A50" s="65" t="s">
        <v>36</v>
      </c>
      <c r="B50" s="66"/>
      <c r="C50" s="67"/>
      <c r="D50" s="126"/>
      <c r="E50" s="68" t="str">
        <f>IF(E44&gt;22500,"SKUPNI ZNESEK NE SME PRESEGATI 22.500 €","OK")</f>
        <v>OK</v>
      </c>
      <c r="F50" s="2"/>
      <c r="G50" s="65" t="s">
        <v>36</v>
      </c>
      <c r="H50" s="66"/>
      <c r="I50" s="67"/>
      <c r="J50" s="126"/>
      <c r="K50" s="68" t="str">
        <f>IF(K44&gt;19406.25,"SKUPNI ZNESEK NE SME PRESEGATI 19.406,25 €","OK")</f>
        <v>OK</v>
      </c>
      <c r="L50" s="2"/>
      <c r="M50" s="2"/>
      <c r="N50" s="2"/>
      <c r="O50" s="2"/>
      <c r="P50" s="2"/>
      <c r="Q50" s="2"/>
      <c r="R50" s="2"/>
      <c r="S50" s="2"/>
      <c r="T50" s="2"/>
    </row>
    <row r="51" spans="1:20" ht="15.75" thickBot="1" x14ac:dyDescent="0.3">
      <c r="A51" s="69"/>
      <c r="B51" s="70"/>
      <c r="C51" s="71"/>
      <c r="D51" s="127"/>
      <c r="E51" s="72"/>
      <c r="F51" s="2"/>
      <c r="G51" s="69"/>
      <c r="H51" s="70"/>
      <c r="I51" s="71"/>
      <c r="J51" s="127"/>
      <c r="K51" s="72"/>
      <c r="L51" s="2"/>
      <c r="M51" s="2"/>
      <c r="N51" s="2"/>
      <c r="O51" s="2"/>
      <c r="P51" s="2"/>
      <c r="Q51" s="2"/>
      <c r="R51" s="2"/>
      <c r="S51" s="2"/>
      <c r="T51" s="2"/>
    </row>
    <row r="52" spans="1:20" ht="15.75" thickBot="1" x14ac:dyDescent="0.3">
      <c r="A52" s="181" t="s">
        <v>72</v>
      </c>
      <c r="B52" s="182"/>
      <c r="C52" s="187">
        <v>1500</v>
      </c>
      <c r="D52" s="186">
        <f>C52/3600</f>
        <v>0.41666666666666669</v>
      </c>
      <c r="E52" s="74">
        <f>24000*6.25%</f>
        <v>1500</v>
      </c>
      <c r="F52" s="2"/>
      <c r="G52" s="181" t="s">
        <v>72</v>
      </c>
      <c r="H52" s="182"/>
      <c r="I52" s="187">
        <f>20700*6.25%</f>
        <v>1293.75</v>
      </c>
      <c r="J52" s="186">
        <f>I52/3105</f>
        <v>0.41666666666666669</v>
      </c>
      <c r="K52" s="74">
        <f>20700*6.25%</f>
        <v>1293.75</v>
      </c>
      <c r="L52" s="2"/>
      <c r="M52" s="105"/>
      <c r="N52" s="2"/>
      <c r="O52" s="2"/>
      <c r="P52" s="2"/>
      <c r="Q52" s="2"/>
      <c r="R52" s="2"/>
      <c r="S52" s="2"/>
      <c r="T52" s="2"/>
    </row>
    <row r="53" spans="1:20" ht="15.75" thickBot="1" x14ac:dyDescent="0.3">
      <c r="A53" s="32" t="s">
        <v>70</v>
      </c>
      <c r="B53" s="160"/>
      <c r="C53" s="179">
        <f>C52</f>
        <v>1500</v>
      </c>
      <c r="D53" s="148">
        <f>D52</f>
        <v>0.41666666666666669</v>
      </c>
      <c r="E53" s="76">
        <f>SUM(E52)</f>
        <v>1500</v>
      </c>
      <c r="F53" s="2"/>
      <c r="G53" s="32" t="s">
        <v>70</v>
      </c>
      <c r="H53" s="160"/>
      <c r="I53" s="179">
        <f>I52</f>
        <v>1293.75</v>
      </c>
      <c r="J53" s="148">
        <f>J52</f>
        <v>0.41666666666666669</v>
      </c>
      <c r="K53" s="76">
        <f>SUM(K52)</f>
        <v>1293.75</v>
      </c>
      <c r="L53" s="2"/>
      <c r="M53" s="2"/>
      <c r="N53" s="2"/>
      <c r="O53" s="2"/>
      <c r="P53" s="2"/>
      <c r="Q53" s="2"/>
      <c r="R53" s="2"/>
      <c r="S53" s="2"/>
      <c r="T53" s="2"/>
    </row>
    <row r="54" spans="1:20" ht="15.75" thickBot="1" x14ac:dyDescent="0.3">
      <c r="A54" s="161" t="s">
        <v>37</v>
      </c>
      <c r="B54" s="162"/>
      <c r="C54" s="75"/>
      <c r="D54" s="118"/>
      <c r="E54" s="78">
        <f>E44+E53</f>
        <v>23996.97</v>
      </c>
      <c r="F54" s="2"/>
      <c r="G54" s="161" t="s">
        <v>37</v>
      </c>
      <c r="H54" s="162"/>
      <c r="I54" s="163"/>
      <c r="J54" s="118"/>
      <c r="K54" s="78">
        <f>K44+K53</f>
        <v>20699.066999999999</v>
      </c>
      <c r="L54" s="2"/>
      <c r="M54" s="2"/>
      <c r="N54" s="2"/>
      <c r="O54" s="2"/>
      <c r="P54" s="2"/>
      <c r="Q54" s="2"/>
      <c r="R54" s="2"/>
      <c r="S54" s="2"/>
      <c r="T54" s="2"/>
    </row>
    <row r="55" spans="1:20" ht="15.75" thickBot="1" x14ac:dyDescent="0.3">
      <c r="A55" s="32" t="s">
        <v>33</v>
      </c>
      <c r="B55" s="160"/>
      <c r="C55" s="75"/>
      <c r="D55" s="119"/>
      <c r="E55" s="76">
        <f>E54</f>
        <v>23996.97</v>
      </c>
      <c r="F55" s="2"/>
      <c r="G55" s="32" t="s">
        <v>33</v>
      </c>
      <c r="H55" s="160"/>
      <c r="I55" s="163"/>
      <c r="J55" s="119"/>
      <c r="K55" s="76">
        <f>K54</f>
        <v>20699.066999999999</v>
      </c>
      <c r="L55" s="2"/>
      <c r="M55" s="2"/>
      <c r="N55" s="2"/>
      <c r="O55" s="2"/>
      <c r="P55" s="2"/>
      <c r="Q55" s="2"/>
      <c r="R55" s="2"/>
      <c r="S55" s="2"/>
      <c r="T55" s="2"/>
    </row>
    <row r="56" spans="1:20" x14ac:dyDescent="0.25">
      <c r="A56" s="79" t="s">
        <v>38</v>
      </c>
      <c r="B56" s="80"/>
      <c r="C56" s="80"/>
      <c r="D56" s="120"/>
      <c r="E56" s="81" t="str">
        <f>IF(E55&gt;24001,"SKUPNI ZNESEK NE SME PRESEGATI 24.000 €","OK")</f>
        <v>OK</v>
      </c>
      <c r="F56" s="2"/>
      <c r="G56" s="79" t="s">
        <v>38</v>
      </c>
      <c r="H56" s="80"/>
      <c r="I56" s="80"/>
      <c r="J56" s="120"/>
      <c r="K56" s="81" t="str">
        <f>IF(K55&gt;20701,"SKUPNI ZNESEK NE SME PRESEGATI 20.700 €","OK")</f>
        <v>OK</v>
      </c>
      <c r="L56" s="2"/>
      <c r="M56" s="106"/>
      <c r="N56" s="2"/>
      <c r="O56" s="2"/>
      <c r="P56" s="2"/>
      <c r="Q56" s="2"/>
      <c r="R56" s="2"/>
      <c r="S56" s="2"/>
      <c r="T56" s="2"/>
    </row>
    <row r="57" spans="1:20" x14ac:dyDescent="0.25">
      <c r="A57" s="82"/>
      <c r="B57" s="83"/>
      <c r="C57" s="83"/>
      <c r="D57" s="121"/>
      <c r="E57" s="84"/>
      <c r="F57" s="15"/>
      <c r="G57" s="82"/>
      <c r="H57" s="83"/>
      <c r="I57" s="83"/>
      <c r="J57" s="121"/>
      <c r="K57" s="84"/>
      <c r="L57" s="2"/>
      <c r="M57" s="2"/>
      <c r="N57" s="2"/>
      <c r="O57" s="2"/>
      <c r="P57" s="2"/>
      <c r="Q57" s="2"/>
      <c r="R57" s="2"/>
      <c r="S57" s="2"/>
      <c r="T57" s="2"/>
    </row>
    <row r="58" spans="1:20" ht="15.75" thickBot="1" x14ac:dyDescent="0.3">
      <c r="A58" s="85"/>
      <c r="B58" s="86"/>
      <c r="C58" s="86"/>
      <c r="D58" s="122"/>
      <c r="E58" s="87"/>
      <c r="F58" s="2"/>
      <c r="G58" s="85"/>
      <c r="H58" s="86"/>
      <c r="I58" s="86"/>
      <c r="J58" s="122"/>
      <c r="K58" s="87"/>
      <c r="L58" s="2"/>
      <c r="M58" s="2"/>
      <c r="N58" s="2"/>
    </row>
    <row r="59" spans="1:20" x14ac:dyDescent="0.25">
      <c r="G59" s="2"/>
      <c r="H59" s="2"/>
      <c r="I59" s="2"/>
      <c r="J59" s="2"/>
      <c r="K59" s="2"/>
      <c r="L59" s="15"/>
      <c r="M59" s="178"/>
      <c r="N59" s="2"/>
    </row>
    <row r="60" spans="1:20" x14ac:dyDescent="0.25">
      <c r="E60" s="173"/>
    </row>
    <row r="61" spans="1:20" x14ac:dyDescent="0.25">
      <c r="L61" s="177"/>
    </row>
    <row r="63" spans="1:20" x14ac:dyDescent="0.25">
      <c r="C63" s="173"/>
      <c r="L63" s="177"/>
    </row>
  </sheetData>
  <protectedRanges>
    <protectedRange algorithmName="SHA-512" hashValue="Szkwi1/ykv2y+DoIz+DfMqHc2F4cDfvjVqRJZtngR53T2ZxJDrytD1cT2/nlhzd6tKBGFQZKhsITdypVOHNLog==" saltValue="jogpj7q6gqBIBS3gDUfmcA==" spinCount="100000" sqref="I48:J48 I25:J25 I31:J31 I40:J41 I21:I24 I27:I30 I33:I39 J49" name="Obseg1"/>
  </protectedRanges>
  <mergeCells count="70">
    <mergeCell ref="G26:H26"/>
    <mergeCell ref="G32:H32"/>
    <mergeCell ref="G42:H42"/>
    <mergeCell ref="A49:B49"/>
    <mergeCell ref="G49:H49"/>
    <mergeCell ref="A52:B52"/>
    <mergeCell ref="G52:H52"/>
    <mergeCell ref="A54:B54"/>
    <mergeCell ref="G54:H54"/>
    <mergeCell ref="A46:E46"/>
    <mergeCell ref="G46:K46"/>
    <mergeCell ref="A4:C4"/>
    <mergeCell ref="D4:E4"/>
    <mergeCell ref="G4:I4"/>
    <mergeCell ref="J4:K4"/>
    <mergeCell ref="A5:B5"/>
    <mergeCell ref="C5:E5"/>
    <mergeCell ref="G5:H5"/>
    <mergeCell ref="I5:K5"/>
    <mergeCell ref="I40:I41"/>
    <mergeCell ref="J40:J41"/>
    <mergeCell ref="K40:K41"/>
    <mergeCell ref="A1:K1"/>
    <mergeCell ref="A2:E2"/>
    <mergeCell ref="G2:K2"/>
    <mergeCell ref="A3:C3"/>
    <mergeCell ref="D3:E3"/>
    <mergeCell ref="G3:I3"/>
    <mergeCell ref="J3:K3"/>
    <mergeCell ref="K56:K58"/>
    <mergeCell ref="D19:D20"/>
    <mergeCell ref="J19:J20"/>
    <mergeCell ref="D50:D51"/>
    <mergeCell ref="J50:J51"/>
    <mergeCell ref="A47:B47"/>
    <mergeCell ref="A48:B48"/>
    <mergeCell ref="G47:H47"/>
    <mergeCell ref="G48:H48"/>
    <mergeCell ref="H19:H20"/>
    <mergeCell ref="I19:I20"/>
    <mergeCell ref="K19:K20"/>
    <mergeCell ref="G43:H43"/>
    <mergeCell ref="G45:H45"/>
    <mergeCell ref="G50:H51"/>
    <mergeCell ref="I50:I51"/>
    <mergeCell ref="K50:K51"/>
    <mergeCell ref="G44:H44"/>
    <mergeCell ref="G40:G41"/>
    <mergeCell ref="E50:E51"/>
    <mergeCell ref="A53:B53"/>
    <mergeCell ref="A55:B55"/>
    <mergeCell ref="A56:C58"/>
    <mergeCell ref="E56:E58"/>
    <mergeCell ref="G19:G20"/>
    <mergeCell ref="G53:H53"/>
    <mergeCell ref="G55:H55"/>
    <mergeCell ref="G56:I58"/>
    <mergeCell ref="H40:H41"/>
    <mergeCell ref="A42:B42"/>
    <mergeCell ref="A43:B43"/>
    <mergeCell ref="A44:B44"/>
    <mergeCell ref="A45:B45"/>
    <mergeCell ref="A50:B51"/>
    <mergeCell ref="C50:C51"/>
    <mergeCell ref="A19:A20"/>
    <mergeCell ref="B19:B20"/>
    <mergeCell ref="C19:C20"/>
    <mergeCell ref="E19:E20"/>
    <mergeCell ref="A26:B26"/>
    <mergeCell ref="A32:B32"/>
  </mergeCells>
  <dataValidations count="1">
    <dataValidation operator="greaterThanOrEqual" allowBlank="1" showInputMessage="1" showErrorMessage="1" errorTitle="Napaka" error="Skupna vsota ur PM, DM in Š mora biti najmanj 1450 ur" sqref="C50:D50 C44:D44 I50:J50 I44:J44" xr:uid="{73DBEAA1-F61F-44FC-8808-5CB7AA6B70BF}"/>
  </dataValidations>
  <pageMargins left="0.7" right="0.7" top="0.75" bottom="0.75" header="0.3" footer="0.3"/>
  <ignoredErrors>
    <ignoredError sqref="D21 D25 D22:D24 J23:J24 D33:D41 J36:J41 C47 E47:F47 D47:D48 D50:D51 J47:J48 J21:J22 H47:I47" unlockedFormula="1"/>
    <ignoredError sqref="D31 D32 D29:D30 J32:J35 J29:J31 D42 J49 J27:J28 D27:D28" formula="1" unlockedFormula="1"/>
    <ignoredError sqref="D43 K26 K32 E29:E32 J42 D49 J50:J52 E26:E28 D26 F27:I27 F28:I28 F26:J2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24190-800A-426B-B0B7-37AA4E0174E3}">
  <dimension ref="A1:L44"/>
  <sheetViews>
    <sheetView zoomScale="80" zoomScaleNormal="80" workbookViewId="0">
      <selection activeCell="S41" sqref="S41"/>
    </sheetView>
  </sheetViews>
  <sheetFormatPr defaultRowHeight="15" x14ac:dyDescent="0.25"/>
  <cols>
    <col min="1" max="1" width="33" customWidth="1"/>
    <col min="2" max="2" width="20.85546875" customWidth="1"/>
    <col min="3" max="3" width="17.7109375" customWidth="1"/>
    <col min="4" max="4" width="16.42578125" bestFit="1" customWidth="1"/>
    <col min="6" max="6" width="11.42578125" bestFit="1" customWidth="1"/>
    <col min="10" max="10" width="13.7109375" customWidth="1"/>
  </cols>
  <sheetData>
    <row r="1" spans="1:12" x14ac:dyDescent="0.25">
      <c r="A1" s="1" t="s">
        <v>54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15.75" thickBot="1" x14ac:dyDescent="0.3">
      <c r="A3" s="1" t="s">
        <v>52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x14ac:dyDescent="0.25">
      <c r="A4" s="3" t="s">
        <v>0</v>
      </c>
      <c r="B4" s="4" t="s">
        <v>53</v>
      </c>
      <c r="C4" s="5" t="s">
        <v>2</v>
      </c>
      <c r="D4" s="6" t="s">
        <v>3</v>
      </c>
      <c r="E4" s="7"/>
      <c r="F4" s="8" t="s">
        <v>4</v>
      </c>
      <c r="G4" s="9"/>
      <c r="H4" s="10"/>
      <c r="I4" s="2"/>
      <c r="J4" s="2"/>
      <c r="K4" s="2"/>
      <c r="L4" s="2"/>
    </row>
    <row r="5" spans="1:12" ht="26.25" customHeight="1" thickBot="1" x14ac:dyDescent="0.3">
      <c r="A5" s="11"/>
      <c r="B5" s="12"/>
      <c r="C5" s="13"/>
      <c r="D5" s="14"/>
      <c r="E5" s="15"/>
      <c r="F5" s="16" t="s">
        <v>40</v>
      </c>
      <c r="G5" s="2"/>
      <c r="H5" s="17"/>
      <c r="I5" s="2"/>
      <c r="J5" s="2"/>
      <c r="K5" s="2"/>
      <c r="L5" s="2"/>
    </row>
    <row r="6" spans="1:12" x14ac:dyDescent="0.25">
      <c r="A6" s="18" t="s">
        <v>5</v>
      </c>
      <c r="B6" s="89">
        <v>22</v>
      </c>
      <c r="C6" s="19">
        <v>100</v>
      </c>
      <c r="D6" s="20">
        <f>B6*C6</f>
        <v>2200</v>
      </c>
      <c r="E6" s="2"/>
      <c r="F6" s="16" t="s">
        <v>41</v>
      </c>
      <c r="G6" s="2"/>
      <c r="H6" s="17"/>
      <c r="I6" s="2"/>
      <c r="J6" s="2"/>
      <c r="K6" s="2"/>
      <c r="L6" s="2"/>
    </row>
    <row r="7" spans="1:12" ht="15.75" thickBot="1" x14ac:dyDescent="0.3">
      <c r="A7" s="21" t="s">
        <v>6</v>
      </c>
      <c r="B7" s="90">
        <v>22</v>
      </c>
      <c r="C7" s="91">
        <v>50</v>
      </c>
      <c r="D7" s="23">
        <f t="shared" ref="D7:D26" si="0">B7*C7</f>
        <v>1100</v>
      </c>
      <c r="E7" s="2"/>
      <c r="F7" s="24" t="s">
        <v>42</v>
      </c>
      <c r="G7" s="25"/>
      <c r="H7" s="26"/>
      <c r="I7" s="2"/>
      <c r="J7" s="2"/>
      <c r="K7" s="2"/>
      <c r="L7" s="2"/>
    </row>
    <row r="8" spans="1:12" ht="15.75" thickBot="1" x14ac:dyDescent="0.3">
      <c r="A8" s="27" t="s">
        <v>7</v>
      </c>
      <c r="B8" s="90">
        <v>22</v>
      </c>
      <c r="C8" s="91">
        <v>30</v>
      </c>
      <c r="D8" s="23">
        <f t="shared" si="0"/>
        <v>660</v>
      </c>
      <c r="E8" s="2"/>
      <c r="F8" s="2"/>
      <c r="G8" s="2"/>
      <c r="H8" s="2"/>
      <c r="I8" s="2"/>
      <c r="J8" s="2"/>
      <c r="K8" s="2"/>
      <c r="L8" s="2"/>
    </row>
    <row r="9" spans="1:12" x14ac:dyDescent="0.25">
      <c r="A9" s="27" t="s">
        <v>8</v>
      </c>
      <c r="B9" s="90">
        <v>22</v>
      </c>
      <c r="C9" s="91">
        <v>20</v>
      </c>
      <c r="D9" s="23">
        <f t="shared" si="0"/>
        <v>440</v>
      </c>
      <c r="E9" s="2"/>
      <c r="F9" s="8" t="s">
        <v>39</v>
      </c>
      <c r="G9" s="28"/>
      <c r="H9" s="28"/>
      <c r="I9" s="28"/>
      <c r="J9" s="28"/>
      <c r="K9" s="28"/>
      <c r="L9" s="29"/>
    </row>
    <row r="10" spans="1:12" ht="15.75" thickBot="1" x14ac:dyDescent="0.3">
      <c r="A10" s="27" t="s">
        <v>9</v>
      </c>
      <c r="B10" s="45">
        <v>22</v>
      </c>
      <c r="C10" s="88"/>
      <c r="D10" s="23">
        <f t="shared" si="0"/>
        <v>0</v>
      </c>
      <c r="E10" s="2"/>
      <c r="F10" s="16"/>
      <c r="G10" s="30" t="s">
        <v>10</v>
      </c>
      <c r="H10" s="31" t="s">
        <v>11</v>
      </c>
      <c r="I10" s="31" t="s">
        <v>12</v>
      </c>
      <c r="J10" s="31" t="s">
        <v>13</v>
      </c>
      <c r="K10" s="2"/>
      <c r="L10" s="17"/>
    </row>
    <row r="11" spans="1:12" ht="15.75" thickBot="1" x14ac:dyDescent="0.3">
      <c r="A11" s="32" t="s">
        <v>14</v>
      </c>
      <c r="B11" s="33"/>
      <c r="C11" s="34">
        <f>SUM(C6:C10)</f>
        <v>200</v>
      </c>
      <c r="D11" s="35">
        <f>SUM(D6:D10)</f>
        <v>4400</v>
      </c>
      <c r="E11" s="2"/>
      <c r="F11" s="36" t="s">
        <v>4</v>
      </c>
      <c r="G11" s="37">
        <v>0.8</v>
      </c>
      <c r="H11" s="38">
        <f>1300*0.8</f>
        <v>1040</v>
      </c>
      <c r="I11" s="39">
        <v>11.57</v>
      </c>
      <c r="J11" s="38">
        <f>H11*I11</f>
        <v>12032.800000000001</v>
      </c>
      <c r="K11" s="2"/>
      <c r="L11" s="17"/>
    </row>
    <row r="12" spans="1:12" x14ac:dyDescent="0.25">
      <c r="A12" s="18" t="s">
        <v>15</v>
      </c>
      <c r="B12" s="89">
        <v>22</v>
      </c>
      <c r="C12" s="19">
        <v>60</v>
      </c>
      <c r="D12" s="20">
        <f t="shared" si="0"/>
        <v>1320</v>
      </c>
      <c r="E12" s="2"/>
      <c r="F12" s="16" t="s">
        <v>16</v>
      </c>
      <c r="G12" s="40">
        <v>0.2</v>
      </c>
      <c r="H12" s="38">
        <f>1300*0.2</f>
        <v>260</v>
      </c>
      <c r="I12" s="39">
        <v>22</v>
      </c>
      <c r="J12" s="38">
        <f>H12*I12</f>
        <v>5720</v>
      </c>
      <c r="K12" s="2"/>
      <c r="L12" s="17"/>
    </row>
    <row r="13" spans="1:12" ht="15.75" thickBot="1" x14ac:dyDescent="0.3">
      <c r="A13" s="21" t="s">
        <v>17</v>
      </c>
      <c r="B13" s="90">
        <v>22</v>
      </c>
      <c r="C13" s="91">
        <v>30</v>
      </c>
      <c r="D13" s="23">
        <f t="shared" si="0"/>
        <v>660</v>
      </c>
      <c r="E13" s="2"/>
      <c r="F13" s="24"/>
      <c r="G13" s="41">
        <f>SUM(G11:G12)</f>
        <v>1</v>
      </c>
      <c r="H13" s="42">
        <f>SUM(H11:H12)</f>
        <v>1300</v>
      </c>
      <c r="I13" s="43"/>
      <c r="J13" s="43">
        <f>SUM(J11:J12)</f>
        <v>17752.800000000003</v>
      </c>
      <c r="K13" s="25"/>
      <c r="L13" s="26"/>
    </row>
    <row r="14" spans="1:12" x14ac:dyDescent="0.25">
      <c r="A14" s="27" t="s">
        <v>18</v>
      </c>
      <c r="B14" s="90">
        <v>22</v>
      </c>
      <c r="C14" s="91"/>
      <c r="D14" s="23">
        <f t="shared" si="0"/>
        <v>0</v>
      </c>
      <c r="E14" s="2"/>
      <c r="F14" s="2"/>
      <c r="G14" s="2"/>
      <c r="H14" s="2"/>
      <c r="I14" s="2"/>
      <c r="J14" s="2"/>
      <c r="K14" s="2"/>
      <c r="L14" s="2"/>
    </row>
    <row r="15" spans="1:12" x14ac:dyDescent="0.25">
      <c r="A15" s="27" t="s">
        <v>19</v>
      </c>
      <c r="B15" s="90">
        <v>22</v>
      </c>
      <c r="C15" s="91"/>
      <c r="D15" s="23">
        <f t="shared" si="0"/>
        <v>0</v>
      </c>
      <c r="E15" s="2"/>
      <c r="F15" s="2"/>
      <c r="G15" s="2"/>
      <c r="H15" s="2"/>
      <c r="I15" s="2"/>
      <c r="J15" s="2"/>
      <c r="K15" s="2"/>
      <c r="L15" s="2"/>
    </row>
    <row r="16" spans="1:12" ht="15.75" thickBot="1" x14ac:dyDescent="0.3">
      <c r="A16" s="27" t="s">
        <v>20</v>
      </c>
      <c r="B16" s="45">
        <v>22</v>
      </c>
      <c r="C16" s="91"/>
      <c r="D16" s="23">
        <f t="shared" si="0"/>
        <v>0</v>
      </c>
      <c r="E16" s="2"/>
      <c r="F16" s="2"/>
      <c r="G16" s="2"/>
      <c r="H16" s="2"/>
      <c r="I16" s="2"/>
      <c r="J16" s="2"/>
      <c r="K16" s="2"/>
      <c r="L16" s="2"/>
    </row>
    <row r="17" spans="1:12" ht="15.75" thickBot="1" x14ac:dyDescent="0.3">
      <c r="A17" s="32" t="s">
        <v>21</v>
      </c>
      <c r="B17" s="33"/>
      <c r="C17" s="34">
        <f>SUM(C12:C16)</f>
        <v>90</v>
      </c>
      <c r="D17" s="35">
        <f>SUM(D12:D16)</f>
        <v>1980</v>
      </c>
      <c r="E17" s="2"/>
      <c r="F17" s="2"/>
      <c r="G17" s="2"/>
      <c r="H17" s="2"/>
      <c r="I17" s="2"/>
      <c r="J17" s="2"/>
      <c r="K17" s="2"/>
      <c r="L17" s="2"/>
    </row>
    <row r="18" spans="1:12" x14ac:dyDescent="0.25">
      <c r="A18" s="18" t="s">
        <v>22</v>
      </c>
      <c r="B18" s="89">
        <v>11.57</v>
      </c>
      <c r="C18" s="19">
        <v>140</v>
      </c>
      <c r="D18" s="20">
        <f t="shared" si="0"/>
        <v>1619.8</v>
      </c>
      <c r="E18" s="2"/>
      <c r="F18" s="2"/>
      <c r="G18" s="2"/>
      <c r="H18" s="2"/>
      <c r="I18" s="2"/>
      <c r="J18" s="2"/>
      <c r="K18" s="2"/>
      <c r="L18" s="2"/>
    </row>
    <row r="19" spans="1:12" x14ac:dyDescent="0.25">
      <c r="A19" s="44" t="s">
        <v>23</v>
      </c>
      <c r="B19" s="90">
        <v>11.57</v>
      </c>
      <c r="C19" s="22">
        <v>140</v>
      </c>
      <c r="D19" s="23">
        <f t="shared" si="0"/>
        <v>1619.8</v>
      </c>
      <c r="E19" s="2"/>
      <c r="F19" s="2"/>
      <c r="G19" s="2"/>
      <c r="H19" s="2"/>
      <c r="I19" s="2"/>
      <c r="J19" s="2"/>
      <c r="K19" s="2"/>
      <c r="L19" s="2"/>
    </row>
    <row r="20" spans="1:12" x14ac:dyDescent="0.25">
      <c r="A20" s="44" t="s">
        <v>24</v>
      </c>
      <c r="B20" s="90">
        <v>11.57</v>
      </c>
      <c r="C20" s="22">
        <v>140</v>
      </c>
      <c r="D20" s="23">
        <f t="shared" si="0"/>
        <v>1619.8</v>
      </c>
      <c r="E20" s="2"/>
      <c r="F20" s="2"/>
      <c r="G20" s="2"/>
      <c r="H20" s="2"/>
      <c r="I20" s="2"/>
      <c r="J20" s="2"/>
      <c r="K20" s="2"/>
      <c r="L20" s="2"/>
    </row>
    <row r="21" spans="1:12" x14ac:dyDescent="0.25">
      <c r="A21" s="44" t="s">
        <v>25</v>
      </c>
      <c r="B21" s="90">
        <v>11.57</v>
      </c>
      <c r="C21" s="22">
        <v>140</v>
      </c>
      <c r="D21" s="23">
        <f t="shared" si="0"/>
        <v>1619.8</v>
      </c>
      <c r="E21" s="2"/>
      <c r="F21" s="2"/>
      <c r="G21" s="2"/>
      <c r="H21" s="2"/>
      <c r="I21" s="2"/>
      <c r="J21" s="2"/>
      <c r="K21" s="2"/>
      <c r="L21" s="2"/>
    </row>
    <row r="22" spans="1:12" x14ac:dyDescent="0.25">
      <c r="A22" s="44" t="s">
        <v>26</v>
      </c>
      <c r="B22" s="90">
        <v>11.57</v>
      </c>
      <c r="C22" s="22">
        <v>140</v>
      </c>
      <c r="D22" s="23">
        <f t="shared" si="0"/>
        <v>1619.8</v>
      </c>
      <c r="E22" s="2"/>
      <c r="F22" s="2"/>
      <c r="G22" s="2"/>
      <c r="H22" s="2"/>
      <c r="I22" s="2"/>
      <c r="J22" s="2"/>
      <c r="K22" s="2"/>
      <c r="L22" s="2"/>
    </row>
    <row r="23" spans="1:12" x14ac:dyDescent="0.25">
      <c r="A23" s="21" t="s">
        <v>27</v>
      </c>
      <c r="B23" s="90">
        <v>11.57</v>
      </c>
      <c r="C23" s="91">
        <v>135</v>
      </c>
      <c r="D23" s="23">
        <f t="shared" si="0"/>
        <v>1561.95</v>
      </c>
      <c r="E23" s="2"/>
      <c r="F23" s="2"/>
      <c r="G23" s="2"/>
      <c r="H23" s="2"/>
      <c r="I23" s="2"/>
      <c r="J23" s="2"/>
      <c r="K23" s="2"/>
      <c r="L23" s="2"/>
    </row>
    <row r="24" spans="1:12" x14ac:dyDescent="0.25">
      <c r="A24" s="21" t="s">
        <v>28</v>
      </c>
      <c r="B24" s="90">
        <v>11.57</v>
      </c>
      <c r="C24" s="91">
        <v>134</v>
      </c>
      <c r="D24" s="23">
        <f t="shared" si="0"/>
        <v>1550.38</v>
      </c>
      <c r="E24" s="2"/>
      <c r="F24" s="2"/>
      <c r="G24" s="2"/>
      <c r="H24" s="2"/>
      <c r="I24" s="2"/>
      <c r="J24" s="2"/>
      <c r="K24" s="2"/>
      <c r="L24" s="2"/>
    </row>
    <row r="25" spans="1:12" x14ac:dyDescent="0.25">
      <c r="A25" s="21" t="s">
        <v>29</v>
      </c>
      <c r="B25" s="90">
        <v>11.57</v>
      </c>
      <c r="C25" s="91">
        <v>130</v>
      </c>
      <c r="D25" s="23">
        <f t="shared" si="0"/>
        <v>1504.1000000000001</v>
      </c>
      <c r="E25" s="2"/>
      <c r="F25" s="2"/>
      <c r="G25" s="2"/>
      <c r="H25" s="2"/>
      <c r="I25" s="2"/>
      <c r="J25" s="2"/>
      <c r="K25" s="2"/>
      <c r="L25" s="2"/>
    </row>
    <row r="26" spans="1:12" ht="15.75" thickBot="1" x14ac:dyDescent="0.3">
      <c r="A26" s="21" t="s">
        <v>30</v>
      </c>
      <c r="B26" s="90">
        <v>11.57</v>
      </c>
      <c r="C26" s="91">
        <v>130</v>
      </c>
      <c r="D26" s="23">
        <f t="shared" si="0"/>
        <v>1504.1000000000001</v>
      </c>
      <c r="E26" s="2"/>
      <c r="F26" s="2"/>
      <c r="G26" s="2"/>
      <c r="H26" s="2"/>
      <c r="I26" s="2"/>
      <c r="J26" s="2"/>
      <c r="K26" s="2"/>
      <c r="L26" s="2"/>
    </row>
    <row r="27" spans="1:12" ht="15.75" thickBot="1" x14ac:dyDescent="0.3">
      <c r="A27" s="32" t="s">
        <v>31</v>
      </c>
      <c r="B27" s="33"/>
      <c r="C27" s="34">
        <f>SUM(C18:C26)</f>
        <v>1229</v>
      </c>
      <c r="D27" s="35">
        <f>SUM(D18:D26)</f>
        <v>14219.530000000002</v>
      </c>
      <c r="E27" s="46"/>
      <c r="F27" s="2"/>
      <c r="G27" s="2"/>
      <c r="H27" s="2"/>
      <c r="I27" s="2"/>
      <c r="J27" s="2"/>
      <c r="K27" s="2"/>
      <c r="L27" s="2"/>
    </row>
    <row r="28" spans="1:12" ht="15.75" thickBot="1" x14ac:dyDescent="0.3">
      <c r="A28" s="47" t="s">
        <v>32</v>
      </c>
      <c r="B28" s="48"/>
      <c r="C28" s="49" t="str">
        <f>IF(C27&lt;(C29*0.8),"MINUMUM UR ŠTUDENTOV SKUPAJ MORA BITI 80%","OK")</f>
        <v>OK</v>
      </c>
      <c r="D28" s="50"/>
      <c r="E28" s="2"/>
      <c r="F28" s="2"/>
      <c r="G28" s="2"/>
      <c r="H28" s="2"/>
      <c r="I28" s="2"/>
      <c r="J28" s="2"/>
      <c r="K28" s="2"/>
      <c r="L28" s="2"/>
    </row>
    <row r="29" spans="1:12" ht="15.75" thickBot="1" x14ac:dyDescent="0.3">
      <c r="A29" s="51" t="s">
        <v>51</v>
      </c>
      <c r="B29" s="52"/>
      <c r="C29" s="34">
        <f>C11+C17+C27</f>
        <v>1519</v>
      </c>
      <c r="D29" s="53">
        <f>D32+D31+D27+D17+D11</f>
        <v>22499.530000000002</v>
      </c>
      <c r="E29" s="2"/>
      <c r="F29" s="2"/>
      <c r="G29" s="2"/>
      <c r="H29" s="2"/>
      <c r="I29" s="2"/>
      <c r="J29" s="2"/>
      <c r="K29" s="2"/>
      <c r="L29" s="2"/>
    </row>
    <row r="30" spans="1:12" ht="15.75" thickBot="1" x14ac:dyDescent="0.3">
      <c r="A30" s="54" t="s">
        <v>34</v>
      </c>
      <c r="B30" s="55"/>
      <c r="C30" s="56" t="str">
        <f>IF(C29&lt;1301,"MINIMUM UR JE 1300","OK")</f>
        <v>OK</v>
      </c>
      <c r="D30" s="50"/>
      <c r="E30" s="2"/>
      <c r="F30" s="2"/>
      <c r="G30" s="2"/>
      <c r="H30" s="2"/>
      <c r="I30" s="2"/>
      <c r="J30" s="2"/>
      <c r="K30" s="2"/>
      <c r="L30" s="2"/>
    </row>
    <row r="31" spans="1:12" ht="15.75" thickBot="1" x14ac:dyDescent="0.3">
      <c r="A31" s="57" t="s">
        <v>48</v>
      </c>
      <c r="B31" s="58"/>
      <c r="C31" s="59">
        <f>24000*6.25%</f>
        <v>1500</v>
      </c>
      <c r="D31" s="60">
        <f>C31</f>
        <v>1500</v>
      </c>
      <c r="E31" s="2"/>
      <c r="F31" s="105">
        <f>(D31+D32)/24000</f>
        <v>7.9166666666666663E-2</v>
      </c>
      <c r="G31" s="2"/>
      <c r="H31" s="2"/>
      <c r="I31" s="2"/>
      <c r="J31" s="2"/>
      <c r="K31" s="2"/>
      <c r="L31" s="2"/>
    </row>
    <row r="32" spans="1:12" ht="15.75" thickBot="1" x14ac:dyDescent="0.3">
      <c r="A32" s="61" t="s">
        <v>35</v>
      </c>
      <c r="B32" s="62"/>
      <c r="C32" s="63">
        <v>400</v>
      </c>
      <c r="D32" s="64">
        <f>C32</f>
        <v>400</v>
      </c>
      <c r="E32" s="2"/>
      <c r="F32" s="2"/>
      <c r="G32" s="2"/>
      <c r="H32" s="2"/>
      <c r="I32" s="2"/>
      <c r="J32" s="2"/>
      <c r="K32" s="2"/>
      <c r="L32" s="2"/>
    </row>
    <row r="33" spans="1:12" x14ac:dyDescent="0.25">
      <c r="A33" s="65" t="s">
        <v>36</v>
      </c>
      <c r="B33" s="66"/>
      <c r="C33" s="67"/>
      <c r="D33" s="68" t="str">
        <f>IF(D29&gt;22500,"SKUPNI ZNESEK NE SME PRESEGATI 22.500 €","OK")</f>
        <v>OK</v>
      </c>
      <c r="E33" s="2"/>
      <c r="F33" s="2"/>
      <c r="G33" s="2"/>
      <c r="H33" s="2"/>
      <c r="I33" s="2"/>
      <c r="J33" s="2"/>
      <c r="K33" s="2"/>
      <c r="L33" s="2"/>
    </row>
    <row r="34" spans="1:12" ht="15.75" thickBot="1" x14ac:dyDescent="0.3">
      <c r="A34" s="69"/>
      <c r="B34" s="70"/>
      <c r="C34" s="71"/>
      <c r="D34" s="72"/>
      <c r="E34" s="2"/>
      <c r="F34" s="2"/>
      <c r="G34" s="2"/>
      <c r="H34" s="2">
        <f>24000-1500</f>
        <v>22500</v>
      </c>
      <c r="I34" s="2"/>
      <c r="J34" s="2"/>
      <c r="K34" s="2"/>
      <c r="L34" s="2"/>
    </row>
    <row r="35" spans="1:12" ht="15.75" thickBot="1" x14ac:dyDescent="0.3">
      <c r="A35" s="61" t="s">
        <v>49</v>
      </c>
      <c r="B35" s="62"/>
      <c r="C35" s="73"/>
      <c r="D35" s="74">
        <f>24000*6.25%</f>
        <v>1500</v>
      </c>
      <c r="E35" s="2"/>
      <c r="F35" s="105">
        <f>(D35)/24000</f>
        <v>6.25E-2</v>
      </c>
      <c r="G35" s="2"/>
      <c r="H35" s="2"/>
      <c r="I35" s="2"/>
      <c r="J35" s="2"/>
      <c r="K35" s="2"/>
      <c r="L35" s="2"/>
    </row>
    <row r="36" spans="1:12" ht="15.75" thickBot="1" x14ac:dyDescent="0.3">
      <c r="A36" s="32" t="s">
        <v>33</v>
      </c>
      <c r="B36" s="33"/>
      <c r="C36" s="75"/>
      <c r="D36" s="76">
        <f>SUM(D35)</f>
        <v>1500</v>
      </c>
      <c r="E36" s="2"/>
      <c r="F36" s="2"/>
      <c r="G36" s="2"/>
      <c r="H36" s="2"/>
      <c r="I36" s="2"/>
      <c r="J36" s="2"/>
      <c r="K36" s="2"/>
      <c r="L36" s="2"/>
    </row>
    <row r="37" spans="1:12" ht="15.75" thickBot="1" x14ac:dyDescent="0.3">
      <c r="A37" s="77" t="s">
        <v>37</v>
      </c>
      <c r="B37" s="62"/>
      <c r="C37" s="75"/>
      <c r="D37" s="78">
        <f>D29+D36</f>
        <v>23999.530000000002</v>
      </c>
      <c r="E37" s="2"/>
      <c r="F37" s="2"/>
      <c r="G37" s="2"/>
      <c r="H37" s="2"/>
      <c r="I37" s="2"/>
      <c r="J37" s="2"/>
      <c r="K37" s="2"/>
      <c r="L37" s="2"/>
    </row>
    <row r="38" spans="1:12" ht="15.75" thickBot="1" x14ac:dyDescent="0.3">
      <c r="A38" s="32" t="s">
        <v>33</v>
      </c>
      <c r="B38" s="33"/>
      <c r="C38" s="75"/>
      <c r="D38" s="76">
        <f>D37</f>
        <v>23999.530000000002</v>
      </c>
      <c r="E38" s="2"/>
      <c r="F38" s="2"/>
      <c r="G38" s="2"/>
      <c r="H38" s="2"/>
      <c r="I38" s="2"/>
      <c r="J38" s="2"/>
      <c r="K38" s="2"/>
      <c r="L38" s="2"/>
    </row>
    <row r="39" spans="1:12" x14ac:dyDescent="0.25">
      <c r="A39" s="79" t="s">
        <v>38</v>
      </c>
      <c r="B39" s="80"/>
      <c r="C39" s="80"/>
      <c r="D39" s="81" t="str">
        <f>IF(D38&gt;24001,"SKUPNI ZNESEK NE SME PRESEGATI 24.000 €","OK")</f>
        <v>OK</v>
      </c>
      <c r="E39" s="2"/>
      <c r="F39" s="106">
        <f>SUM(F31:F38)</f>
        <v>0.14166666666666666</v>
      </c>
      <c r="G39" s="2"/>
      <c r="H39" s="2"/>
      <c r="I39" s="2"/>
      <c r="J39" s="2"/>
      <c r="K39" s="2"/>
      <c r="L39" s="2"/>
    </row>
    <row r="40" spans="1:12" x14ac:dyDescent="0.25">
      <c r="A40" s="82"/>
      <c r="B40" s="83"/>
      <c r="C40" s="83"/>
      <c r="D40" s="84"/>
      <c r="E40" s="15"/>
      <c r="F40" s="2"/>
      <c r="G40" s="2"/>
      <c r="H40" s="2"/>
      <c r="I40" s="2"/>
      <c r="J40" s="2"/>
      <c r="K40" s="2"/>
      <c r="L40" s="2"/>
    </row>
    <row r="41" spans="1:12" ht="15.75" thickBot="1" x14ac:dyDescent="0.3">
      <c r="A41" s="85"/>
      <c r="B41" s="86"/>
      <c r="C41" s="86"/>
      <c r="D41" s="87"/>
      <c r="E41" s="2"/>
      <c r="F41" s="2"/>
      <c r="G41" s="2"/>
      <c r="H41" s="2"/>
      <c r="I41" s="2"/>
      <c r="J41" s="2"/>
      <c r="K41" s="2"/>
      <c r="L41" s="2"/>
    </row>
    <row r="44" spans="1:12" x14ac:dyDescent="0.25">
      <c r="D44">
        <f>24000*0.15</f>
        <v>3600</v>
      </c>
    </row>
  </sheetData>
  <mergeCells count="17">
    <mergeCell ref="D33:D34"/>
    <mergeCell ref="A36:B36"/>
    <mergeCell ref="A38:B38"/>
    <mergeCell ref="A39:C41"/>
    <mergeCell ref="D39:D41"/>
    <mergeCell ref="A27:B27"/>
    <mergeCell ref="A28:B28"/>
    <mergeCell ref="A29:B29"/>
    <mergeCell ref="A30:B30"/>
    <mergeCell ref="A33:B34"/>
    <mergeCell ref="C33:C34"/>
    <mergeCell ref="A4:A5"/>
    <mergeCell ref="B4:B5"/>
    <mergeCell ref="C4:C5"/>
    <mergeCell ref="D4:D5"/>
    <mergeCell ref="A11:B11"/>
    <mergeCell ref="A17:B17"/>
  </mergeCells>
  <dataValidations count="1">
    <dataValidation operator="greaterThanOrEqual" allowBlank="1" showInputMessage="1" showErrorMessage="1" errorTitle="Napaka" error="Skupna vsota ur PM, DM in Š mora biti najmanj 1450 ur" sqref="C33 C29" xr:uid="{3D34A4D4-5541-4A6E-8FD9-466ED5F1845E}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AE2E4-0F68-4058-9BB9-4770873FD252}">
  <dimension ref="A1:N68"/>
  <sheetViews>
    <sheetView zoomScale="80" zoomScaleNormal="80" workbookViewId="0">
      <selection activeCell="A2" sqref="A2"/>
    </sheetView>
  </sheetViews>
  <sheetFormatPr defaultColWidth="9.140625" defaultRowHeight="15" x14ac:dyDescent="0.25"/>
  <cols>
    <col min="1" max="1" width="35.140625" style="2" customWidth="1"/>
    <col min="2" max="2" width="18.5703125" style="2" customWidth="1"/>
    <col min="3" max="3" width="15.42578125" style="2" customWidth="1"/>
    <col min="4" max="4" width="19" style="2" customWidth="1"/>
    <col min="5" max="5" width="9.85546875" style="2" customWidth="1"/>
    <col min="6" max="6" width="15.85546875" style="2" customWidth="1"/>
    <col min="7" max="7" width="11.28515625" style="2" customWidth="1"/>
    <col min="8" max="8" width="10.5703125" style="2" bestFit="1" customWidth="1"/>
    <col min="9" max="9" width="10.5703125" style="2" customWidth="1"/>
    <col min="10" max="10" width="11.5703125" style="2" bestFit="1" customWidth="1"/>
    <col min="11" max="13" width="9.140625" style="2"/>
    <col min="14" max="14" width="9.5703125" style="2" customWidth="1"/>
    <col min="15" max="16384" width="9.140625" style="2"/>
  </cols>
  <sheetData>
    <row r="1" spans="1:14" ht="30" customHeight="1" x14ac:dyDescent="0.25">
      <c r="A1" s="1" t="s">
        <v>64</v>
      </c>
    </row>
    <row r="2" spans="1:14" ht="22.5" customHeight="1" thickBot="1" x14ac:dyDescent="0.3">
      <c r="A2" s="1"/>
    </row>
    <row r="3" spans="1:14" s="1" customFormat="1" ht="26.25" customHeight="1" x14ac:dyDescent="0.25">
      <c r="A3" s="92" t="s">
        <v>43</v>
      </c>
      <c r="B3" s="4" t="s">
        <v>1</v>
      </c>
      <c r="C3" s="5" t="s">
        <v>2</v>
      </c>
      <c r="D3" s="6" t="s">
        <v>3</v>
      </c>
      <c r="E3" s="2"/>
      <c r="F3" s="8" t="s">
        <v>4</v>
      </c>
      <c r="G3" s="9"/>
      <c r="H3" s="10"/>
      <c r="I3" s="2"/>
      <c r="J3" s="2"/>
      <c r="K3" s="2"/>
      <c r="L3" s="2"/>
      <c r="M3" s="2"/>
      <c r="N3" s="2"/>
    </row>
    <row r="4" spans="1:14" ht="30.75" customHeight="1" thickBot="1" x14ac:dyDescent="0.3">
      <c r="A4" s="93"/>
      <c r="B4" s="12"/>
      <c r="C4" s="13"/>
      <c r="D4" s="14"/>
      <c r="F4" s="16" t="s">
        <v>40</v>
      </c>
      <c r="H4" s="17"/>
    </row>
    <row r="5" spans="1:14" ht="23.1" customHeight="1" x14ac:dyDescent="0.25">
      <c r="A5" s="18" t="s">
        <v>5</v>
      </c>
      <c r="B5" s="90">
        <v>22</v>
      </c>
      <c r="C5" s="19">
        <v>100</v>
      </c>
      <c r="D5" s="20">
        <f>B5*C5</f>
        <v>2200</v>
      </c>
      <c r="F5" s="16" t="s">
        <v>41</v>
      </c>
      <c r="H5" s="17"/>
      <c r="N5" s="94"/>
    </row>
    <row r="6" spans="1:14" ht="19.5" customHeight="1" thickBot="1" x14ac:dyDescent="0.3">
      <c r="A6" s="21" t="s">
        <v>6</v>
      </c>
      <c r="B6" s="90">
        <v>22</v>
      </c>
      <c r="C6" s="91">
        <v>50</v>
      </c>
      <c r="D6" s="23">
        <f>B6*C6</f>
        <v>1100</v>
      </c>
      <c r="F6" s="24" t="s">
        <v>42</v>
      </c>
      <c r="G6" s="25"/>
      <c r="H6" s="26"/>
      <c r="N6" s="95"/>
    </row>
    <row r="7" spans="1:14" ht="19.5" customHeight="1" thickBot="1" x14ac:dyDescent="0.3">
      <c r="A7" s="27" t="s">
        <v>7</v>
      </c>
      <c r="B7" s="90">
        <v>22</v>
      </c>
      <c r="C7" s="91">
        <v>15</v>
      </c>
      <c r="D7" s="23">
        <f>B7*C7</f>
        <v>330</v>
      </c>
    </row>
    <row r="8" spans="1:14" ht="19.5" customHeight="1" x14ac:dyDescent="0.25">
      <c r="A8" s="27" t="s">
        <v>8</v>
      </c>
      <c r="B8" s="90">
        <v>22</v>
      </c>
      <c r="C8" s="91"/>
      <c r="D8" s="23">
        <f>B8*C8</f>
        <v>0</v>
      </c>
      <c r="F8" s="8" t="s">
        <v>50</v>
      </c>
      <c r="G8" s="28"/>
      <c r="H8" s="28"/>
      <c r="I8" s="28"/>
      <c r="J8" s="28"/>
      <c r="K8" s="28"/>
      <c r="L8" s="29"/>
    </row>
    <row r="9" spans="1:14" ht="19.5" customHeight="1" thickBot="1" x14ac:dyDescent="0.3">
      <c r="A9" s="27" t="s">
        <v>9</v>
      </c>
      <c r="B9" s="90">
        <v>22</v>
      </c>
      <c r="C9" s="91"/>
      <c r="D9" s="23">
        <f>B9*C9</f>
        <v>0</v>
      </c>
      <c r="F9" s="16"/>
      <c r="G9" s="30" t="s">
        <v>10</v>
      </c>
      <c r="H9" s="31" t="s">
        <v>11</v>
      </c>
      <c r="I9" s="31" t="s">
        <v>12</v>
      </c>
      <c r="J9" s="31" t="s">
        <v>13</v>
      </c>
      <c r="L9" s="17"/>
    </row>
    <row r="10" spans="1:14" ht="15.75" thickBot="1" x14ac:dyDescent="0.3">
      <c r="A10" s="96" t="s">
        <v>44</v>
      </c>
      <c r="B10" s="97"/>
      <c r="C10" s="34">
        <f>SUM(C5:C9)</f>
        <v>165</v>
      </c>
      <c r="D10" s="35">
        <f>SUM(D5:D9)</f>
        <v>3630</v>
      </c>
      <c r="F10" s="36" t="s">
        <v>4</v>
      </c>
      <c r="G10" s="37">
        <v>0.8</v>
      </c>
      <c r="H10" s="38">
        <f>1000*0.8</f>
        <v>800</v>
      </c>
      <c r="I10" s="39">
        <v>11.57</v>
      </c>
      <c r="J10" s="38">
        <f>H10*I10</f>
        <v>9256</v>
      </c>
      <c r="L10" s="17"/>
    </row>
    <row r="11" spans="1:14" ht="19.5" customHeight="1" x14ac:dyDescent="0.25">
      <c r="A11" s="18" t="s">
        <v>15</v>
      </c>
      <c r="B11" s="90">
        <v>22</v>
      </c>
      <c r="C11" s="19">
        <v>60</v>
      </c>
      <c r="D11" s="20">
        <f>B11*C11</f>
        <v>1320</v>
      </c>
      <c r="F11" s="98" t="s">
        <v>16</v>
      </c>
      <c r="G11" s="40">
        <v>0.2</v>
      </c>
      <c r="H11" s="38">
        <f>1000*0.2</f>
        <v>200</v>
      </c>
      <c r="I11" s="39">
        <v>22</v>
      </c>
      <c r="J11" s="38">
        <f>H11*I11</f>
        <v>4400</v>
      </c>
      <c r="L11" s="17"/>
    </row>
    <row r="12" spans="1:14" ht="19.5" customHeight="1" thickBot="1" x14ac:dyDescent="0.3">
      <c r="A12" s="21" t="s">
        <v>17</v>
      </c>
      <c r="B12" s="90">
        <v>22</v>
      </c>
      <c r="C12" s="91">
        <v>30</v>
      </c>
      <c r="D12" s="23">
        <f>B12*C12</f>
        <v>660</v>
      </c>
      <c r="F12" s="24"/>
      <c r="G12" s="41">
        <f>SUM(G10:G11)</f>
        <v>1</v>
      </c>
      <c r="H12" s="42">
        <f>SUM(H10:H11)</f>
        <v>1000</v>
      </c>
      <c r="I12" s="43"/>
      <c r="J12" s="43">
        <f>SUM(J10:J11)</f>
        <v>13656</v>
      </c>
      <c r="K12" s="25"/>
      <c r="L12" s="26"/>
    </row>
    <row r="13" spans="1:14" ht="19.5" customHeight="1" x14ac:dyDescent="0.25">
      <c r="A13" s="27" t="s">
        <v>18</v>
      </c>
      <c r="B13" s="90">
        <v>22</v>
      </c>
      <c r="C13" s="91"/>
      <c r="D13" s="23">
        <f>B13*C13</f>
        <v>0</v>
      </c>
    </row>
    <row r="14" spans="1:14" ht="19.5" customHeight="1" x14ac:dyDescent="0.25">
      <c r="A14" s="27" t="s">
        <v>19</v>
      </c>
      <c r="B14" s="90">
        <v>22</v>
      </c>
      <c r="C14" s="91"/>
      <c r="D14" s="23">
        <f>B14*C14</f>
        <v>0</v>
      </c>
    </row>
    <row r="15" spans="1:14" ht="15.75" thickBot="1" x14ac:dyDescent="0.3">
      <c r="A15" s="27" t="s">
        <v>20</v>
      </c>
      <c r="B15" s="90">
        <v>22</v>
      </c>
      <c r="C15" s="91"/>
      <c r="D15" s="23">
        <f>B15*C15</f>
        <v>0</v>
      </c>
    </row>
    <row r="16" spans="1:14" ht="19.5" customHeight="1" thickBot="1" x14ac:dyDescent="0.3">
      <c r="A16" s="96" t="s">
        <v>45</v>
      </c>
      <c r="B16" s="97"/>
      <c r="C16" s="34">
        <f>SUM(C11:C15)</f>
        <v>90</v>
      </c>
      <c r="D16" s="35">
        <f>SUM(D11:D15)</f>
        <v>1980</v>
      </c>
    </row>
    <row r="17" spans="1:8" ht="19.5" customHeight="1" x14ac:dyDescent="0.25">
      <c r="A17" s="18" t="s">
        <v>22</v>
      </c>
      <c r="B17" s="89">
        <v>11.57</v>
      </c>
      <c r="C17" s="19">
        <v>140</v>
      </c>
      <c r="D17" s="20">
        <f t="shared" ref="D17:D24" si="0">B17*C17</f>
        <v>1619.8</v>
      </c>
    </row>
    <row r="18" spans="1:8" ht="19.5" customHeight="1" x14ac:dyDescent="0.25">
      <c r="A18" s="44" t="s">
        <v>23</v>
      </c>
      <c r="B18" s="90">
        <v>11.57</v>
      </c>
      <c r="C18" s="22">
        <v>140</v>
      </c>
      <c r="D18" s="23">
        <f t="shared" si="0"/>
        <v>1619.8</v>
      </c>
    </row>
    <row r="19" spans="1:8" ht="19.5" customHeight="1" x14ac:dyDescent="0.25">
      <c r="A19" s="44" t="s">
        <v>24</v>
      </c>
      <c r="B19" s="90">
        <v>11.57</v>
      </c>
      <c r="C19" s="22">
        <v>140</v>
      </c>
      <c r="D19" s="23">
        <f t="shared" si="0"/>
        <v>1619.8</v>
      </c>
    </row>
    <row r="20" spans="1:8" ht="23.1" customHeight="1" x14ac:dyDescent="0.25">
      <c r="A20" s="44" t="s">
        <v>25</v>
      </c>
      <c r="B20" s="90">
        <v>11.57</v>
      </c>
      <c r="C20" s="22">
        <v>140</v>
      </c>
      <c r="D20" s="23">
        <f t="shared" si="0"/>
        <v>1619.8</v>
      </c>
    </row>
    <row r="21" spans="1:8" ht="19.5" customHeight="1" x14ac:dyDescent="0.25">
      <c r="A21" s="21" t="s">
        <v>26</v>
      </c>
      <c r="B21" s="90">
        <v>11.57</v>
      </c>
      <c r="C21" s="91">
        <v>125</v>
      </c>
      <c r="D21" s="23">
        <f t="shared" si="0"/>
        <v>1446.25</v>
      </c>
    </row>
    <row r="22" spans="1:8" x14ac:dyDescent="0.25">
      <c r="A22" s="21" t="s">
        <v>27</v>
      </c>
      <c r="B22" s="90">
        <v>11.57</v>
      </c>
      <c r="C22" s="91">
        <v>120</v>
      </c>
      <c r="D22" s="23">
        <f t="shared" si="0"/>
        <v>1388.4</v>
      </c>
    </row>
    <row r="23" spans="1:8" ht="23.25" customHeight="1" x14ac:dyDescent="0.25">
      <c r="A23" s="21" t="s">
        <v>28</v>
      </c>
      <c r="B23" s="90">
        <v>11.57</v>
      </c>
      <c r="C23" s="91">
        <v>120</v>
      </c>
      <c r="D23" s="23">
        <f t="shared" si="0"/>
        <v>1388.4</v>
      </c>
    </row>
    <row r="24" spans="1:8" ht="15.75" thickBot="1" x14ac:dyDescent="0.3">
      <c r="A24" s="21" t="s">
        <v>29</v>
      </c>
      <c r="B24" s="90">
        <v>11.57</v>
      </c>
      <c r="C24" s="104">
        <v>120</v>
      </c>
      <c r="D24" s="23">
        <f t="shared" si="0"/>
        <v>1388.4</v>
      </c>
    </row>
    <row r="25" spans="1:8" ht="19.5" customHeight="1" thickBot="1" x14ac:dyDescent="0.3">
      <c r="A25" s="96" t="s">
        <v>46</v>
      </c>
      <c r="B25" s="97"/>
      <c r="C25" s="34">
        <f>SUM(C17:C24)</f>
        <v>1045</v>
      </c>
      <c r="D25" s="35">
        <f>SUM(D17:D24)</f>
        <v>12090.65</v>
      </c>
      <c r="G25" s="105"/>
    </row>
    <row r="26" spans="1:8" ht="19.5" customHeight="1" thickBot="1" x14ac:dyDescent="0.3">
      <c r="A26" s="47" t="s">
        <v>32</v>
      </c>
      <c r="B26" s="48"/>
      <c r="C26" s="99" t="str">
        <f>IF(C25&lt;(C27*0.8),"MINUMUM UR ŠTUDENTOV SKUPAJ MORA BITI 80%","OK")</f>
        <v>OK</v>
      </c>
      <c r="D26" s="100"/>
    </row>
    <row r="27" spans="1:8" ht="30" customHeight="1" thickBot="1" x14ac:dyDescent="0.3">
      <c r="A27" s="96" t="s">
        <v>47</v>
      </c>
      <c r="B27" s="101"/>
      <c r="C27" s="34">
        <f>C10+C16+C25</f>
        <v>1300</v>
      </c>
      <c r="D27" s="53">
        <f>D30+D29+D25+D16+D10</f>
        <v>19394.400000000001</v>
      </c>
      <c r="E27" s="15"/>
    </row>
    <row r="28" spans="1:8" ht="19.5" customHeight="1" thickBot="1" x14ac:dyDescent="0.3">
      <c r="A28" s="47" t="s">
        <v>34</v>
      </c>
      <c r="B28" s="48"/>
      <c r="C28" s="102" t="str">
        <f>IF(C27&lt;1000,"MINIMUM UR JE 1000","OK")</f>
        <v>OK</v>
      </c>
      <c r="D28" s="100"/>
    </row>
    <row r="29" spans="1:8" ht="19.5" customHeight="1" thickBot="1" x14ac:dyDescent="0.3">
      <c r="A29" s="57" t="s">
        <v>48</v>
      </c>
      <c r="B29" s="58"/>
      <c r="C29" s="59">
        <f>20700*6.25%</f>
        <v>1293.75</v>
      </c>
      <c r="D29" s="60">
        <f>C29</f>
        <v>1293.75</v>
      </c>
      <c r="F29" s="105">
        <f>(D29+D30)/20700</f>
        <v>8.1823671497584544E-2</v>
      </c>
    </row>
    <row r="30" spans="1:8" ht="19.5" customHeight="1" thickBot="1" x14ac:dyDescent="0.3">
      <c r="A30" s="57" t="s">
        <v>35</v>
      </c>
      <c r="B30" s="97"/>
      <c r="C30" s="103">
        <v>400</v>
      </c>
      <c r="D30" s="60">
        <f>C30</f>
        <v>400</v>
      </c>
      <c r="E30" s="15"/>
    </row>
    <row r="31" spans="1:8" ht="19.5" customHeight="1" x14ac:dyDescent="0.25">
      <c r="A31" s="65" t="s">
        <v>36</v>
      </c>
      <c r="B31" s="66"/>
      <c r="C31" s="67"/>
      <c r="D31" s="68" t="str">
        <f>IF(D27&gt;19406.25,"SKUPNI ZNESEK NE SME PRESEGATI 19.406,25 €","OK")</f>
        <v>OK</v>
      </c>
      <c r="H31" s="2">
        <f>20700-1293.75</f>
        <v>19406.25</v>
      </c>
    </row>
    <row r="32" spans="1:8" ht="19.5" customHeight="1" thickBot="1" x14ac:dyDescent="0.3">
      <c r="A32" s="69"/>
      <c r="B32" s="70"/>
      <c r="C32" s="71"/>
      <c r="D32" s="72"/>
    </row>
    <row r="33" spans="1:6" ht="19.5" customHeight="1" thickBot="1" x14ac:dyDescent="0.3">
      <c r="A33" s="57" t="s">
        <v>49</v>
      </c>
      <c r="B33" s="62"/>
      <c r="C33" s="73"/>
      <c r="D33" s="74">
        <f>20700*6.25%</f>
        <v>1293.75</v>
      </c>
      <c r="F33" s="105">
        <f>(D33)/20700</f>
        <v>6.25E-2</v>
      </c>
    </row>
    <row r="34" spans="1:6" ht="22.5" customHeight="1" thickBot="1" x14ac:dyDescent="0.3">
      <c r="A34" s="32" t="s">
        <v>33</v>
      </c>
      <c r="B34" s="33"/>
      <c r="C34" s="75"/>
      <c r="D34" s="76">
        <f>SUM(D33)</f>
        <v>1293.75</v>
      </c>
    </row>
    <row r="35" spans="1:6" ht="19.5" customHeight="1" thickBot="1" x14ac:dyDescent="0.3">
      <c r="A35" s="77" t="s">
        <v>37</v>
      </c>
      <c r="B35" s="62"/>
      <c r="C35" s="75"/>
      <c r="D35" s="78">
        <f>D27+D34</f>
        <v>20688.150000000001</v>
      </c>
    </row>
    <row r="36" spans="1:6" ht="19.5" customHeight="1" thickBot="1" x14ac:dyDescent="0.3">
      <c r="A36" s="32" t="s">
        <v>33</v>
      </c>
      <c r="B36" s="33"/>
      <c r="C36" s="75"/>
      <c r="D36" s="76">
        <f>D35</f>
        <v>20688.150000000001</v>
      </c>
    </row>
    <row r="37" spans="1:6" ht="19.5" customHeight="1" x14ac:dyDescent="0.25">
      <c r="A37" s="79" t="s">
        <v>38</v>
      </c>
      <c r="B37" s="80"/>
      <c r="C37" s="80"/>
      <c r="D37" s="81" t="str">
        <f>IF(D36&gt;20701,"SKUPNI ZNESEK NE SME PRESEGATI 20.700 €","OK")</f>
        <v>OK</v>
      </c>
      <c r="F37" s="106">
        <f>SUM(F29:F36)</f>
        <v>0.14432367149758454</v>
      </c>
    </row>
    <row r="38" spans="1:6" ht="22.5" customHeight="1" x14ac:dyDescent="0.25">
      <c r="A38" s="82"/>
      <c r="B38" s="83"/>
      <c r="C38" s="83"/>
      <c r="D38" s="84"/>
    </row>
    <row r="39" spans="1:6" ht="24.75" customHeight="1" thickBot="1" x14ac:dyDescent="0.3">
      <c r="A39" s="85"/>
      <c r="B39" s="86"/>
      <c r="C39" s="86"/>
      <c r="D39" s="87"/>
    </row>
    <row r="41" spans="1:6" ht="19.5" customHeight="1" x14ac:dyDescent="0.25"/>
    <row r="42" spans="1:6" ht="19.5" customHeight="1" x14ac:dyDescent="0.25"/>
    <row r="43" spans="1:6" ht="19.5" customHeight="1" x14ac:dyDescent="0.25"/>
    <row r="44" spans="1:6" ht="19.5" customHeight="1" x14ac:dyDescent="0.25"/>
    <row r="46" spans="1:6" ht="19.5" customHeight="1" x14ac:dyDescent="0.25"/>
    <row r="47" spans="1:6" ht="19.5" customHeight="1" x14ac:dyDescent="0.25"/>
    <row r="48" spans="1:6" ht="19.5" customHeight="1" x14ac:dyDescent="0.25"/>
    <row r="49" ht="19.5" customHeight="1" x14ac:dyDescent="0.25"/>
    <row r="51" ht="19.5" customHeight="1" x14ac:dyDescent="0.25"/>
    <row r="52" ht="19.5" customHeight="1" x14ac:dyDescent="0.25"/>
    <row r="53" ht="19.5" customHeight="1" x14ac:dyDescent="0.25"/>
    <row r="54" ht="19.5" customHeight="1" x14ac:dyDescent="0.25"/>
    <row r="56" ht="19.5" customHeight="1" x14ac:dyDescent="0.25"/>
    <row r="57" ht="19.5" customHeight="1" x14ac:dyDescent="0.25"/>
    <row r="58" ht="19.5" customHeight="1" x14ac:dyDescent="0.25"/>
    <row r="59" ht="19.5" customHeight="1" x14ac:dyDescent="0.25"/>
    <row r="61" ht="19.5" customHeight="1" x14ac:dyDescent="0.25"/>
    <row r="62" ht="19.5" customHeight="1" x14ac:dyDescent="0.25"/>
    <row r="63" ht="19.5" customHeight="1" x14ac:dyDescent="0.25"/>
    <row r="64" ht="19.5" customHeight="1" x14ac:dyDescent="0.25"/>
    <row r="66" spans="1:2" ht="23.1" customHeight="1" x14ac:dyDescent="0.25"/>
    <row r="68" spans="1:2" x14ac:dyDescent="0.25">
      <c r="A68" s="2">
        <f>20600*10%</f>
        <v>2060</v>
      </c>
      <c r="B68" s="2">
        <f>A68/15</f>
        <v>137.33333333333334</v>
      </c>
    </row>
  </sheetData>
  <protectedRanges>
    <protectedRange algorithmName="SHA-512" hashValue="Szkwi1/ykv2y+DoIz+DfMqHc2F4cDfvjVqRJZtngR53T2ZxJDrytD1cT2/nlhzd6tKBGFQZKhsITdypVOHNLog==" saltValue="jogpj7q6gqBIBS3gDUfmcA==" spinCount="100000" sqref="C17:C24 C30 C5:C9 C11:C15" name="Obseg1"/>
  </protectedRanges>
  <mergeCells count="13">
    <mergeCell ref="A31:B32"/>
    <mergeCell ref="C31:C32"/>
    <mergeCell ref="D31:D32"/>
    <mergeCell ref="A34:B34"/>
    <mergeCell ref="A36:B36"/>
    <mergeCell ref="A37:C39"/>
    <mergeCell ref="D37:D39"/>
    <mergeCell ref="A3:A4"/>
    <mergeCell ref="B3:B4"/>
    <mergeCell ref="C3:C4"/>
    <mergeCell ref="D3:D4"/>
    <mergeCell ref="A26:B26"/>
    <mergeCell ref="A28:B28"/>
  </mergeCells>
  <dataValidations count="1">
    <dataValidation operator="greaterThanOrEqual" allowBlank="1" showInputMessage="1" showErrorMessage="1" errorTitle="Napaka" error="Skupna vsota ur PM, DM in Š mora biti najmanj 1450 ur" sqref="C31 C27" xr:uid="{AA98FDCA-8E64-4A30-A3D4-15420EE39BBB}"/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A9410080DD65947906FC24809792A6A" ma:contentTypeVersion="3" ma:contentTypeDescription="Ustvari nov dokument." ma:contentTypeScope="" ma:versionID="1bb12e405806e1a0f38f330784f08faf">
  <xsd:schema xmlns:xsd="http://www.w3.org/2001/XMLSchema" xmlns:xs="http://www.w3.org/2001/XMLSchema" xmlns:p="http://schemas.microsoft.com/office/2006/metadata/properties" xmlns:ns2="http://schemas.microsoft.com/sharepoint/v4" xmlns:ns3="c0277750-1130-4c77-a114-54a1208786e4" targetNamespace="http://schemas.microsoft.com/office/2006/metadata/properties" ma:root="true" ma:fieldsID="a3a664802e403ae9228ff647ff88d746" ns2:_="" ns3:_="">
    <xsd:import namespace="http://schemas.microsoft.com/sharepoint/v4"/>
    <xsd:import namespace="c0277750-1130-4c77-a114-54a1208786e4"/>
    <xsd:element name="properties">
      <xsd:complexType>
        <xsd:sequence>
          <xsd:element name="documentManagement">
            <xsd:complexType>
              <xsd:all>
                <xsd:element ref="ns2:IconOverlay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277750-1130-4c77-a114-54a1208786e4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V skupni rabi z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V skupni rabi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vsebine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019737CA-0BDE-400E-BC67-955EA0838831}"/>
</file>

<file path=customXml/itemProps2.xml><?xml version="1.0" encoding="utf-8"?>
<ds:datastoreItem xmlns:ds="http://schemas.openxmlformats.org/officeDocument/2006/customXml" ds:itemID="{C0FBDE80-FFE5-4149-A09F-6EDF548C01C0}"/>
</file>

<file path=customXml/itemProps3.xml><?xml version="1.0" encoding="utf-8"?>
<ds:datastoreItem xmlns:ds="http://schemas.openxmlformats.org/officeDocument/2006/customXml" ds:itemID="{F6776573-AB6C-4042-8CBC-C7A4BB6BC06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3</vt:i4>
      </vt:variant>
    </vt:vector>
  </HeadingPairs>
  <TitlesOfParts>
    <vt:vector size="3" baseType="lpstr">
      <vt:lpstr>SKLOP A in SKLOP B</vt:lpstr>
      <vt:lpstr>SKLOP A</vt:lpstr>
      <vt:lpstr>SKLOP 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Maksič, Sanja</dc:creator>
  <cp:lastModifiedBy>Maksič, Sanja</cp:lastModifiedBy>
  <dcterms:created xsi:type="dcterms:W3CDTF">2024-07-08T06:22:15Z</dcterms:created>
  <dcterms:modified xsi:type="dcterms:W3CDTF">2024-07-09T09:35:38Z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0x010100EA9410080DD65947906FC24809792A6A</vt:lpwstr>
  </property>
</Properties>
</file>